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056" yWindow="65336" windowWidth="24060" windowHeight="15440" tabRatio="855" activeTab="0"/>
  </bookViews>
  <sheets>
    <sheet name="Basiswerte" sheetId="1" r:id="rId1"/>
    <sheet name="Nachfrage2" sheetId="2" state="hidden" r:id="rId2"/>
    <sheet name="Nachfrage" sheetId="3" r:id="rId3"/>
    <sheet name="Belegungsplan_Jahr1" sheetId="4" r:id="rId4"/>
    <sheet name="Belegungsplan_Jahr2" sheetId="5" r:id="rId5"/>
    <sheet name="Belegungsplan_Jahr3" sheetId="6" r:id="rId6"/>
    <sheet name="Arbeitszeit, Löhne" sheetId="7" r:id="rId7"/>
    <sheet name="Beiträge_Bund" sheetId="8" r:id="rId8"/>
    <sheet name="Budget" sheetId="9" r:id="rId9"/>
  </sheets>
  <definedNames>
    <definedName name="_xlnm.Print_Area" localSheetId="3">'Belegungsplan_Jahr1'!$A$1:$BJ$32</definedName>
    <definedName name="_xlnm.Print_Area" localSheetId="2">'Nachfrage'!$A$1:$BF$30</definedName>
    <definedName name="_xlnm.Print_Area" localSheetId="1">'Nachfrage2'!$A$1:$BE$37</definedName>
  </definedNames>
  <calcPr fullCalcOnLoad="1"/>
</workbook>
</file>

<file path=xl/sharedStrings.xml><?xml version="1.0" encoding="utf-8"?>
<sst xmlns="http://schemas.openxmlformats.org/spreadsheetml/2006/main" count="374" uniqueCount="196">
  <si>
    <t>Jahr 4</t>
  </si>
  <si>
    <t>Wochenübersicht</t>
  </si>
  <si>
    <t>∑ / ø / Max</t>
  </si>
  <si>
    <t>Total</t>
  </si>
  <si>
    <t>Raumkosten</t>
  </si>
  <si>
    <t>Anzahl Plätze (p)</t>
  </si>
  <si>
    <t>Summe</t>
  </si>
  <si>
    <t>Total Bruttolöhne</t>
  </si>
  <si>
    <t>Pensum</t>
  </si>
  <si>
    <t>Basiswerte für die Budgetierung</t>
  </si>
  <si>
    <t>Beiträge im ersten Jahr</t>
  </si>
  <si>
    <t>Anzahl Frühstücke pro Woche</t>
  </si>
  <si>
    <t>Zeit für Elterngespräche (Stunden pro Kind und Jahr)</t>
  </si>
  <si>
    <t>Sollarbeitszeit</t>
  </si>
  <si>
    <t>Personalkosten Betreuung</t>
  </si>
  <si>
    <t>Anzahl Frühstücke</t>
  </si>
  <si>
    <t>Betreuungsstunden Personal</t>
  </si>
  <si>
    <t>∑/ø</t>
  </si>
  <si>
    <t>Beginn Modul</t>
  </si>
  <si>
    <t>Ende Modul</t>
  </si>
  <si>
    <t>Dauer</t>
  </si>
  <si>
    <t>Dienstag</t>
  </si>
  <si>
    <t>Mittwoch</t>
  </si>
  <si>
    <t>Donnerstag</t>
  </si>
  <si>
    <t>Freitag</t>
  </si>
  <si>
    <t>Koch/Köchin</t>
  </si>
  <si>
    <t>Arbeitszeit pro Jahr</t>
  </si>
  <si>
    <t>Kosten pro Mittagessen (Einkauf + Löhne)</t>
  </si>
  <si>
    <t>Fachstelle Bildung+Betreuung</t>
  </si>
  <si>
    <t>Öffnungstage pro Woche</t>
  </si>
  <si>
    <t>Anzahl Mittagessen pro Woche</t>
  </si>
  <si>
    <t>Anteil Betreuung durch pädagogisches Personal</t>
  </si>
  <si>
    <t>Jahr 1 Prozent</t>
  </si>
  <si>
    <t>Jahr 1 absolut</t>
  </si>
  <si>
    <t>Jahr 2 absolut</t>
  </si>
  <si>
    <t>Jahr 3 absolut</t>
  </si>
  <si>
    <t>Jahr 2 Prozent</t>
  </si>
  <si>
    <t>Variante selber kochen</t>
  </si>
  <si>
    <t>Leistungsdaten und Budget</t>
  </si>
  <si>
    <t>Liegt die Zusage des BSV für die Anstossfinanzierung vor bzw.</t>
  </si>
  <si>
    <t>Ist sie in Aussicht gestellt? (vgl. Manual)</t>
  </si>
  <si>
    <t>Belegungsplan Jahr 1</t>
  </si>
  <si>
    <t>Jahr 6</t>
  </si>
  <si>
    <t>Ertrag</t>
  </si>
  <si>
    <t>Total Ertrag</t>
  </si>
  <si>
    <t>Kosten für Zwischenverpflegung pro Kind und Tag</t>
  </si>
  <si>
    <t>Betreuungsstunden pro Jahr</t>
  </si>
  <si>
    <t>Schulleitung</t>
  </si>
  <si>
    <t>Durchschnittliche Belegung nach Berechnung BSV</t>
  </si>
  <si>
    <t>Elternbeiträge für Frühstück</t>
  </si>
  <si>
    <t>Jahr 5</t>
  </si>
  <si>
    <t>N: keine spezifische Ausbildung</t>
  </si>
  <si>
    <t>A</t>
  </si>
  <si>
    <t>N</t>
  </si>
  <si>
    <t>Jahresstunden für Elterngespräche</t>
  </si>
  <si>
    <t>Total Kosten</t>
  </si>
  <si>
    <t>Übertrag von der Bedarfsabklärung</t>
  </si>
  <si>
    <t>Resultate der Abklärung</t>
  </si>
  <si>
    <t>Anzahl Kinder gem. Umfrage</t>
  </si>
  <si>
    <t>Schätzung des Bedarfs</t>
  </si>
  <si>
    <t>Bruttolohn Betreuungsperson 1</t>
  </si>
  <si>
    <t>Bruttolohn Betreuungsperson 3</t>
  </si>
  <si>
    <t>Administration</t>
  </si>
  <si>
    <t>Leistungsdaten</t>
  </si>
  <si>
    <t>Geleistete Betreuungsstunden</t>
  </si>
  <si>
    <t>Betreuungspensum der Leitungsperson</t>
  </si>
  <si>
    <t>Arbeitszeit in der Betreuung pro Jahr</t>
  </si>
  <si>
    <t>Unerwartetes</t>
  </si>
  <si>
    <t>Kennziffern</t>
  </si>
  <si>
    <t>Anzahl Essen im Jahr</t>
  </si>
  <si>
    <t>Schätzung der Nachfrage</t>
  </si>
  <si>
    <t>Deckungsbeitrag der Gemeinde</t>
  </si>
  <si>
    <t>Betreuungsperson 2</t>
  </si>
  <si>
    <t>A: Ausgebildet</t>
  </si>
  <si>
    <t>Anzahl Mittagessen</t>
  </si>
  <si>
    <t>Betreuungspersonen</t>
  </si>
  <si>
    <t>Tagesschulleiterin</t>
  </si>
  <si>
    <t>Wochenarbeitszeit für Betreuung (Stunden)</t>
  </si>
  <si>
    <t>Belegung nach BSV</t>
  </si>
  <si>
    <t>Bundessubventionen</t>
  </si>
  <si>
    <t>Material/Programme</t>
  </si>
  <si>
    <t>Beiträge für belegte Plätze</t>
  </si>
  <si>
    <t>Kosten pro Betreuungsstunde ohne Essenskosten</t>
  </si>
  <si>
    <t>Pensum der Betreuungspersonen</t>
  </si>
  <si>
    <t>Öffnungstage (t)</t>
  </si>
  <si>
    <t>Beiträge des Bundes im Rahmen der Anstossfinanzierung</t>
  </si>
  <si>
    <t>Q.*)</t>
  </si>
  <si>
    <t>*) Qualifikation</t>
  </si>
  <si>
    <t>Zusätzliche Betreuungszeit, wenn ordentlicher Schulunterricht ausfällt (in Prozent der Arbeitszeit)</t>
  </si>
  <si>
    <t>Zusatzkosten für Weiterbildung und Qualitätssi-cherung (in % der Lohnsumme)</t>
  </si>
  <si>
    <t>Jahreslohn Schulleitung (GK 12, 48 Gehaltsstufen = GS)</t>
  </si>
  <si>
    <t>Jahreslohn Tagesschulleitung (GK 10, 40 GS)</t>
  </si>
  <si>
    <t>Bruttolohn Köchin/Koch</t>
  </si>
  <si>
    <t>Lohnkosten Verpflegung</t>
  </si>
  <si>
    <t>EinkaufFrühstück</t>
  </si>
  <si>
    <t>Einkauf Zwischenverpflegung</t>
  </si>
  <si>
    <t>Einkauf Mittagessen</t>
  </si>
  <si>
    <t>Arbeitsstunden Köchin/Koch pro Mittagtisch</t>
  </si>
  <si>
    <t xml:space="preserve">Einkaufskosten für ein Mittagessen </t>
  </si>
  <si>
    <t>Anzahl Mittagstische pro Woche</t>
  </si>
  <si>
    <t>Arbeitszeit pro Mittagstisch (Stunden)</t>
  </si>
  <si>
    <r>
      <t xml:space="preserve">Diverse Kosten </t>
    </r>
    <r>
      <rPr>
        <sz val="10"/>
        <rFont val="Arial"/>
        <family val="2"/>
      </rPr>
      <t>(Anteil an den Gesamtkosten)</t>
    </r>
  </si>
  <si>
    <t>Bruttolohn bei 100 % (nicht ausgebildet)</t>
  </si>
  <si>
    <t>Bruttolohn bei 100 % (ausgebildet)</t>
  </si>
  <si>
    <t>Diverse Kosten</t>
  </si>
  <si>
    <t>Kosten ohne Verpflegung</t>
  </si>
  <si>
    <t>Anzahl Kinder pro Betreuungsperson</t>
  </si>
  <si>
    <t>Pensen/Arbeitszeit</t>
  </si>
  <si>
    <t>Wochenstunden Schulleitung</t>
  </si>
  <si>
    <t>Q A</t>
  </si>
  <si>
    <t>Q N *)</t>
  </si>
  <si>
    <t>Betreuungsperson 3</t>
  </si>
  <si>
    <t>Betreuungsperson 4</t>
  </si>
  <si>
    <t>Betreuungsperson 5</t>
  </si>
  <si>
    <t>Anzahl KInder pro Betreuungsperson</t>
  </si>
  <si>
    <t>Raumkosten pro Quadratmeter</t>
  </si>
  <si>
    <t>Raum total</t>
  </si>
  <si>
    <t>Wochen geöffnet</t>
  </si>
  <si>
    <t>Leitungsperson</t>
  </si>
  <si>
    <t>Lohn Schulleitung</t>
  </si>
  <si>
    <t>Verpflegung total</t>
  </si>
  <si>
    <t>Leitung der Betreuung</t>
  </si>
  <si>
    <t>Fachstelle Bildung und Betreuung</t>
  </si>
  <si>
    <t>Elternbeiträge</t>
  </si>
  <si>
    <t>Erwarteter Elternbeitrag pro Betreuungsstunde</t>
  </si>
  <si>
    <t>Erwartete Elternbeiträge für Betreuung</t>
  </si>
  <si>
    <t>Absenzen</t>
  </si>
  <si>
    <t>Lohn Tagesschulleitung</t>
  </si>
  <si>
    <t>Sozialversicherungen</t>
  </si>
  <si>
    <t>Anzahl Kinder, die das Angebot nutzen</t>
  </si>
  <si>
    <t>Beiträge für angebotene Plätze</t>
  </si>
  <si>
    <t>Anstossfinanzierung des Bundes</t>
  </si>
  <si>
    <t>Bruttolohn Tagesschulleitung für Betreuungsarbeit</t>
  </si>
  <si>
    <t>Anzahl Wochen pro Jahr</t>
  </si>
  <si>
    <t>Prognose der Nachfrage</t>
  </si>
  <si>
    <t>Löhne (AHV-Lohn pro Jahr für 100 % Pensum)</t>
  </si>
  <si>
    <t>Köchin, Koch</t>
  </si>
  <si>
    <t>Wochenstunden Tagesschulleitung</t>
  </si>
  <si>
    <t xml:space="preserve">   entspricht einem Pensum von</t>
  </si>
  <si>
    <t>Bruttolohn Betreuungsperson 2</t>
  </si>
  <si>
    <t>Teamsitzungen</t>
  </si>
  <si>
    <t>Betreuungsperson 1</t>
  </si>
  <si>
    <t>Jahresarbeitszeit</t>
  </si>
  <si>
    <t>Budgettool zur Berechnung der Betriebskosten eines Tagesschulangebotes</t>
  </si>
  <si>
    <t>Verpflegung</t>
  </si>
  <si>
    <t>Essen</t>
  </si>
  <si>
    <t>Raum</t>
  </si>
  <si>
    <t>Zusätzliche Betreuungsstunden an schulfreien Tagen</t>
  </si>
  <si>
    <t>WB/Qualitätssicherung</t>
  </si>
  <si>
    <t>Ja = 1, Nein = 0</t>
  </si>
  <si>
    <t>Kosten</t>
  </si>
  <si>
    <t>Zeit für Teamsitzungen pro Mitarbeiterin/ Mitarbeiter in Stunden pro Jahr</t>
  </si>
  <si>
    <t>Frühstücke im Jahr</t>
  </si>
  <si>
    <t>Realisierte Nachfrage in Prozent</t>
  </si>
  <si>
    <t>Prognostizierte Nachfrage</t>
  </si>
  <si>
    <t>Diverses in Prozent</t>
  </si>
  <si>
    <t>Elternbeiträge für Mittagessen</t>
  </si>
  <si>
    <t>Kosten für Frühstück</t>
  </si>
  <si>
    <t>Nachfrage</t>
  </si>
  <si>
    <t>Belegungsplan Jahr 2</t>
  </si>
  <si>
    <t>Belegungsplan Jahr 3</t>
  </si>
  <si>
    <t>Arbeitszeit und Löhne</t>
  </si>
  <si>
    <t xml:space="preserve">Jahreslohn ausgebildete Betreuungsperson mit päd. oder soz.päd. Berufserfahrung (GK 6, 40 GS) </t>
  </si>
  <si>
    <t>Durchschnittlicher Arbeitgeberbeitrag für Sozialversicherungen</t>
  </si>
  <si>
    <t>Material für Animation/Projekte (pro Kind und Tag)</t>
  </si>
  <si>
    <t>Jahreslohn Mitarbeiter/-in ohne Berufsausbildung, mit Erfahrung (GK Kt.Pers. 6, 35 GS)</t>
  </si>
  <si>
    <t>Jahr 3 Prozent</t>
  </si>
  <si>
    <t>Jahr 3</t>
  </si>
  <si>
    <t>Angebot</t>
  </si>
  <si>
    <t>Lohn Betreuungsarbeit Tagesschulleitung</t>
  </si>
  <si>
    <t>Anzahl Plätze</t>
  </si>
  <si>
    <t>Jahr 2</t>
  </si>
  <si>
    <t>Leitungsperson in der Betreuung</t>
  </si>
  <si>
    <t>Elternbeitrag für Frühstück</t>
  </si>
  <si>
    <t>Elternbeitrag für Mitagessen</t>
  </si>
  <si>
    <t>Arbeitsausfälle wegen Absenzen (5 Tage pro Mitarbeiter/-in, in % der Lohnsumme)</t>
  </si>
  <si>
    <t>Erwartete Belegung (b)</t>
  </si>
  <si>
    <t>Angebotene Betreuungstage (p x t)</t>
  </si>
  <si>
    <t>Geleistete Betreuungstage (b x t)</t>
  </si>
  <si>
    <t>Ergebnisse der Umfrage</t>
  </si>
  <si>
    <t>Öffnungstage</t>
  </si>
  <si>
    <t>Angebotene Betreuungstage</t>
  </si>
  <si>
    <t>Geleistete Betreuungstage</t>
  </si>
  <si>
    <t>Summe der Prozentanteile</t>
  </si>
  <si>
    <t>Jahreslohn bei 100 %</t>
  </si>
  <si>
    <t>Bruttolohn Schulleitung</t>
  </si>
  <si>
    <t>Bruttolohn Tagesschulleitung</t>
  </si>
  <si>
    <t>diverse Kosten total</t>
  </si>
  <si>
    <t>Montag</t>
  </si>
  <si>
    <t>Anzahl Tage mit ausserordentlichen Schulausfällen pro Jahr</t>
  </si>
  <si>
    <t>Räumgrösse (Quadratmeter)</t>
  </si>
  <si>
    <t>Jahresarbeitszeit total</t>
  </si>
  <si>
    <t>Anzahl Kinder</t>
  </si>
  <si>
    <t>Fläche pro Betreuungsplatz (Quadratmeter)</t>
  </si>
  <si>
    <t>Personalkosten Total</t>
  </si>
  <si>
    <t>Jahr 1</t>
  </si>
</sst>
</file>

<file path=xl/styles.xml><?xml version="1.0" encoding="utf-8"?>
<styleSheet xmlns="http://schemas.openxmlformats.org/spreadsheetml/2006/main">
  <numFmts count="23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-&quot;Fr &quot;* #,##0_-;\-&quot;Fr &quot;* #,##0_-;_-&quot;Fr &quot;* &quot;-&quot;_-;_-@_-"/>
    <numFmt numFmtId="173" formatCode="_-&quot;Fr &quot;* #,##0.00_-;\-&quot;Fr &quot;* #,##0.00_-;_-&quot;Fr &quot;* &quot;-&quot;??_-;_-@_-"/>
    <numFmt numFmtId="174" formatCode="0.0"/>
    <numFmt numFmtId="175" formatCode="#,##0.0"/>
    <numFmt numFmtId="176" formatCode="0.0%"/>
    <numFmt numFmtId="177" formatCode="#,##0_ ;\-#,##0\ "/>
    <numFmt numFmtId="178" formatCode="0.000%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10"/>
      <name val="Arial"/>
      <family val="0"/>
    </font>
    <font>
      <sz val="12"/>
      <name val="Wingdings"/>
      <family val="0"/>
    </font>
    <font>
      <sz val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9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3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wrapText="1"/>
    </xf>
    <xf numFmtId="3" fontId="7" fillId="0" borderId="2" xfId="0" applyNumberFormat="1" applyFont="1" applyBorder="1" applyAlignment="1">
      <alignment/>
    </xf>
    <xf numFmtId="0" fontId="7" fillId="0" borderId="0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3" fontId="7" fillId="0" borderId="0" xfId="0" applyNumberFormat="1" applyFont="1" applyBorder="1" applyAlignment="1">
      <alignment vertical="top"/>
    </xf>
    <xf numFmtId="0" fontId="7" fillId="0" borderId="4" xfId="0" applyFont="1" applyBorder="1" applyAlignment="1">
      <alignment/>
    </xf>
    <xf numFmtId="0" fontId="8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/>
    </xf>
    <xf numFmtId="1" fontId="7" fillId="0" borderId="4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top"/>
    </xf>
    <xf numFmtId="0" fontId="8" fillId="0" borderId="3" xfId="0" applyFont="1" applyBorder="1" applyAlignment="1">
      <alignment wrapText="1"/>
    </xf>
    <xf numFmtId="0" fontId="7" fillId="0" borderId="6" xfId="0" applyFont="1" applyBorder="1" applyAlignment="1">
      <alignment vertical="top" wrapText="1"/>
    </xf>
    <xf numFmtId="0" fontId="7" fillId="0" borderId="5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7" xfId="0" applyFont="1" applyBorder="1" applyAlignment="1">
      <alignment wrapText="1"/>
    </xf>
    <xf numFmtId="178" fontId="7" fillId="0" borderId="0" xfId="0" applyNumberFormat="1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8" fillId="0" borderId="8" xfId="0" applyFont="1" applyFill="1" applyBorder="1" applyAlignment="1">
      <alignment wrapText="1"/>
    </xf>
    <xf numFmtId="0" fontId="7" fillId="0" borderId="9" xfId="0" applyFont="1" applyBorder="1" applyAlignment="1">
      <alignment vertical="top" wrapText="1"/>
    </xf>
    <xf numFmtId="0" fontId="7" fillId="0" borderId="5" xfId="0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4" xfId="0" applyFont="1" applyBorder="1" applyAlignment="1">
      <alignment wrapText="1"/>
    </xf>
    <xf numFmtId="0" fontId="9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8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Border="1" applyAlignment="1">
      <alignment vertical="center"/>
    </xf>
    <xf numFmtId="2" fontId="10" fillId="0" borderId="0" xfId="0" applyNumberFormat="1" applyFont="1" applyAlignment="1">
      <alignment/>
    </xf>
    <xf numFmtId="0" fontId="7" fillId="2" borderId="2" xfId="0" applyFont="1" applyFill="1" applyBorder="1" applyAlignment="1">
      <alignment vertical="top"/>
    </xf>
    <xf numFmtId="1" fontId="7" fillId="2" borderId="2" xfId="0" applyNumberFormat="1" applyFont="1" applyFill="1" applyBorder="1" applyAlignment="1">
      <alignment vertical="top"/>
    </xf>
    <xf numFmtId="10" fontId="7" fillId="2" borderId="2" xfId="0" applyNumberFormat="1" applyFont="1" applyFill="1" applyBorder="1" applyAlignment="1">
      <alignment vertical="top"/>
    </xf>
    <xf numFmtId="9" fontId="7" fillId="2" borderId="2" xfId="0" applyNumberFormat="1" applyFont="1" applyFill="1" applyBorder="1" applyAlignment="1">
      <alignment vertical="top"/>
    </xf>
    <xf numFmtId="174" fontId="7" fillId="2" borderId="2" xfId="0" applyNumberFormat="1" applyFont="1" applyFill="1" applyBorder="1" applyAlignment="1">
      <alignment vertical="top"/>
    </xf>
    <xf numFmtId="176" fontId="7" fillId="2" borderId="2" xfId="0" applyNumberFormat="1" applyFont="1" applyFill="1" applyBorder="1" applyAlignment="1">
      <alignment vertical="top"/>
    </xf>
    <xf numFmtId="3" fontId="7" fillId="2" borderId="2" xfId="0" applyNumberFormat="1" applyFont="1" applyFill="1" applyBorder="1" applyAlignment="1">
      <alignment vertical="top"/>
    </xf>
    <xf numFmtId="4" fontId="7" fillId="2" borderId="2" xfId="0" applyNumberFormat="1" applyFont="1" applyFill="1" applyBorder="1" applyAlignment="1">
      <alignment vertical="top"/>
    </xf>
    <xf numFmtId="0" fontId="7" fillId="0" borderId="2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0" fontId="7" fillId="0" borderId="1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8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1" fontId="7" fillId="2" borderId="15" xfId="0" applyNumberFormat="1" applyFont="1" applyFill="1" applyBorder="1" applyAlignment="1">
      <alignment vertical="center"/>
    </xf>
    <xf numFmtId="1" fontId="7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20" fontId="7" fillId="2" borderId="1" xfId="0" applyNumberFormat="1" applyFont="1" applyFill="1" applyBorder="1" applyAlignment="1">
      <alignment vertical="center" textRotation="180"/>
    </xf>
    <xf numFmtId="20" fontId="7" fillId="2" borderId="0" xfId="0" applyNumberFormat="1" applyFont="1" applyFill="1" applyBorder="1" applyAlignment="1">
      <alignment vertical="center" textRotation="180"/>
    </xf>
    <xf numFmtId="20" fontId="7" fillId="2" borderId="1" xfId="0" applyNumberFormat="1" applyFont="1" applyFill="1" applyBorder="1" applyAlignment="1">
      <alignment horizontal="left" vertical="center" textRotation="180"/>
    </xf>
    <xf numFmtId="20" fontId="7" fillId="2" borderId="0" xfId="0" applyNumberFormat="1" applyFont="1" applyFill="1" applyBorder="1" applyAlignment="1">
      <alignment horizontal="left" vertical="center" textRotation="180"/>
    </xf>
    <xf numFmtId="1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2" fontId="10" fillId="0" borderId="17" xfId="0" applyNumberFormat="1" applyFont="1" applyBorder="1" applyAlignment="1">
      <alignment vertical="center"/>
    </xf>
    <xf numFmtId="174" fontId="10" fillId="0" borderId="22" xfId="0" applyNumberFormat="1" applyFont="1" applyBorder="1" applyAlignment="1">
      <alignment vertical="center"/>
    </xf>
    <xf numFmtId="174" fontId="10" fillId="0" borderId="23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4" fontId="10" fillId="0" borderId="25" xfId="0" applyNumberFormat="1" applyFont="1" applyFill="1" applyBorder="1" applyAlignment="1">
      <alignment vertical="center"/>
    </xf>
    <xf numFmtId="2" fontId="10" fillId="0" borderId="25" xfId="0" applyNumberFormat="1" applyFont="1" applyBorder="1" applyAlignment="1">
      <alignment vertical="center"/>
    </xf>
    <xf numFmtId="2" fontId="10" fillId="0" borderId="26" xfId="0" applyNumberFormat="1" applyFont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2" fontId="7" fillId="0" borderId="28" xfId="0" applyNumberFormat="1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1" fontId="7" fillId="0" borderId="1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vertical="top"/>
    </xf>
    <xf numFmtId="1" fontId="10" fillId="0" borderId="22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" fontId="10" fillId="0" borderId="24" xfId="0" applyNumberFormat="1" applyFont="1" applyBorder="1" applyAlignment="1">
      <alignment vertical="center"/>
    </xf>
    <xf numFmtId="0" fontId="8" fillId="0" borderId="0" xfId="0" applyFont="1" applyAlignment="1">
      <alignment vertical="top"/>
    </xf>
    <xf numFmtId="9" fontId="10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9" fontId="10" fillId="2" borderId="0" xfId="0" applyNumberFormat="1" applyFont="1" applyFill="1" applyAlignment="1">
      <alignment/>
    </xf>
    <xf numFmtId="0" fontId="7" fillId="0" borderId="5" xfId="0" applyNumberFormat="1" applyFont="1" applyBorder="1" applyAlignment="1">
      <alignment vertical="center"/>
    </xf>
    <xf numFmtId="0" fontId="7" fillId="2" borderId="15" xfId="0" applyNumberFormat="1" applyFont="1" applyFill="1" applyBorder="1" applyAlignment="1">
      <alignment vertical="center"/>
    </xf>
    <xf numFmtId="0" fontId="7" fillId="2" borderId="16" xfId="0" applyNumberFormat="1" applyFont="1" applyFill="1" applyBorder="1" applyAlignment="1">
      <alignment vertical="center"/>
    </xf>
    <xf numFmtId="0" fontId="7" fillId="2" borderId="30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7" fillId="3" borderId="5" xfId="0" applyFont="1" applyFill="1" applyBorder="1" applyAlignment="1">
      <alignment vertical="top"/>
    </xf>
    <xf numFmtId="0" fontId="7" fillId="3" borderId="2" xfId="0" applyFont="1" applyFill="1" applyBorder="1" applyAlignment="1">
      <alignment vertical="top"/>
    </xf>
    <xf numFmtId="2" fontId="7" fillId="3" borderId="2" xfId="0" applyNumberFormat="1" applyFont="1" applyFill="1" applyBorder="1" applyAlignment="1">
      <alignment vertical="top"/>
    </xf>
    <xf numFmtId="9" fontId="10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vertical="center"/>
    </xf>
    <xf numFmtId="2" fontId="7" fillId="0" borderId="32" xfId="0" applyNumberFormat="1" applyFont="1" applyBorder="1" applyAlignment="1">
      <alignment vertical="center"/>
    </xf>
    <xf numFmtId="2" fontId="10" fillId="0" borderId="33" xfId="0" applyNumberFormat="1" applyFont="1" applyBorder="1" applyAlignment="1">
      <alignment vertical="center"/>
    </xf>
    <xf numFmtId="1" fontId="10" fillId="0" borderId="33" xfId="0" applyNumberFormat="1" applyFont="1" applyBorder="1" applyAlignment="1">
      <alignment vertical="center"/>
    </xf>
    <xf numFmtId="2" fontId="10" fillId="0" borderId="34" xfId="0" applyNumberFormat="1" applyFont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174" fontId="10" fillId="0" borderId="22" xfId="0" applyNumberFormat="1" applyFont="1" applyBorder="1" applyAlignment="1">
      <alignment vertical="center" wrapText="1"/>
    </xf>
    <xf numFmtId="174" fontId="10" fillId="0" borderId="23" xfId="0" applyNumberFormat="1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2" fontId="10" fillId="0" borderId="33" xfId="0" applyNumberFormat="1" applyFont="1" applyBorder="1" applyAlignment="1">
      <alignment vertical="center" wrapText="1"/>
    </xf>
    <xf numFmtId="9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wrapText="1"/>
    </xf>
    <xf numFmtId="0" fontId="7" fillId="0" borderId="13" xfId="0" applyFont="1" applyBorder="1" applyAlignment="1">
      <alignment vertical="center" wrapText="1"/>
    </xf>
    <xf numFmtId="1" fontId="7" fillId="3" borderId="2" xfId="0" applyNumberFormat="1" applyFont="1" applyFill="1" applyBorder="1" applyAlignment="1">
      <alignment vertical="top"/>
    </xf>
    <xf numFmtId="174" fontId="10" fillId="0" borderId="0" xfId="0" applyNumberFormat="1" applyFont="1" applyAlignment="1">
      <alignment/>
    </xf>
    <xf numFmtId="2" fontId="10" fillId="0" borderId="28" xfId="0" applyNumberFormat="1" applyFont="1" applyBorder="1" applyAlignment="1">
      <alignment vertical="center"/>
    </xf>
    <xf numFmtId="1" fontId="10" fillId="0" borderId="28" xfId="0" applyNumberFormat="1" applyFont="1" applyBorder="1" applyAlignment="1">
      <alignment vertical="center"/>
    </xf>
    <xf numFmtId="2" fontId="10" fillId="0" borderId="29" xfId="0" applyNumberFormat="1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2" fontId="7" fillId="0" borderId="36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2" fontId="10" fillId="0" borderId="28" xfId="0" applyNumberFormat="1" applyFont="1" applyBorder="1" applyAlignment="1">
      <alignment vertical="center" wrapText="1"/>
    </xf>
    <xf numFmtId="2" fontId="7" fillId="2" borderId="2" xfId="0" applyNumberFormat="1" applyFont="1" applyFill="1" applyBorder="1" applyAlignment="1">
      <alignment vertical="top"/>
    </xf>
    <xf numFmtId="2" fontId="7" fillId="2" borderId="4" xfId="0" applyNumberFormat="1" applyFont="1" applyFill="1" applyBorder="1" applyAlignment="1">
      <alignment vertical="top"/>
    </xf>
    <xf numFmtId="0" fontId="7" fillId="3" borderId="0" xfId="0" applyFont="1" applyFill="1" applyAlignment="1">
      <alignment/>
    </xf>
    <xf numFmtId="0" fontId="7" fillId="2" borderId="5" xfId="0" applyFont="1" applyFill="1" applyBorder="1" applyAlignment="1">
      <alignment vertical="top"/>
    </xf>
    <xf numFmtId="0" fontId="7" fillId="0" borderId="2" xfId="0" applyFont="1" applyFill="1" applyBorder="1" applyAlignment="1">
      <alignment/>
    </xf>
    <xf numFmtId="174" fontId="7" fillId="3" borderId="2" xfId="0" applyNumberFormat="1" applyFont="1" applyFill="1" applyBorder="1" applyAlignment="1">
      <alignment vertical="top"/>
    </xf>
    <xf numFmtId="3" fontId="7" fillId="3" borderId="2" xfId="0" applyNumberFormat="1" applyFont="1" applyFill="1" applyBorder="1" applyAlignment="1">
      <alignment vertical="top"/>
    </xf>
    <xf numFmtId="10" fontId="7" fillId="3" borderId="2" xfId="0" applyNumberFormat="1" applyFont="1" applyFill="1" applyBorder="1" applyAlignment="1">
      <alignment vertical="top"/>
    </xf>
    <xf numFmtId="4" fontId="7" fillId="3" borderId="2" xfId="0" applyNumberFormat="1" applyFont="1" applyFill="1" applyBorder="1" applyAlignment="1">
      <alignment vertical="top"/>
    </xf>
    <xf numFmtId="9" fontId="7" fillId="3" borderId="2" xfId="0" applyNumberFormat="1" applyFont="1" applyFill="1" applyBorder="1" applyAlignment="1">
      <alignment vertical="top"/>
    </xf>
    <xf numFmtId="9" fontId="7" fillId="2" borderId="5" xfId="0" applyNumberFormat="1" applyFont="1" applyFill="1" applyBorder="1" applyAlignment="1">
      <alignment vertical="top"/>
    </xf>
    <xf numFmtId="2" fontId="7" fillId="3" borderId="4" xfId="0" applyNumberFormat="1" applyFont="1" applyFill="1" applyBorder="1" applyAlignment="1">
      <alignment vertical="top"/>
    </xf>
    <xf numFmtId="20" fontId="7" fillId="3" borderId="1" xfId="0" applyNumberFormat="1" applyFont="1" applyFill="1" applyBorder="1" applyAlignment="1">
      <alignment horizontal="left" vertical="center" textRotation="180"/>
    </xf>
    <xf numFmtId="20" fontId="7" fillId="3" borderId="0" xfId="0" applyNumberFormat="1" applyFont="1" applyFill="1" applyBorder="1" applyAlignment="1">
      <alignment horizontal="left" vertical="center" textRotation="180"/>
    </xf>
    <xf numFmtId="20" fontId="7" fillId="3" borderId="1" xfId="0" applyNumberFormat="1" applyFont="1" applyFill="1" applyBorder="1" applyAlignment="1">
      <alignment vertical="center" textRotation="180"/>
    </xf>
    <xf numFmtId="20" fontId="7" fillId="3" borderId="0" xfId="0" applyNumberFormat="1" applyFont="1" applyFill="1" applyBorder="1" applyAlignment="1">
      <alignment vertical="center" textRotation="180"/>
    </xf>
    <xf numFmtId="9" fontId="10" fillId="3" borderId="0" xfId="0" applyNumberFormat="1" applyFont="1" applyFill="1" applyAlignment="1">
      <alignment/>
    </xf>
    <xf numFmtId="0" fontId="10" fillId="3" borderId="0" xfId="0" applyFont="1" applyFill="1" applyAlignment="1">
      <alignment/>
    </xf>
    <xf numFmtId="0" fontId="10" fillId="3" borderId="22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37" xfId="0" applyFont="1" applyFill="1" applyBorder="1" applyAlignment="1">
      <alignment vertical="center"/>
    </xf>
    <xf numFmtId="0" fontId="10" fillId="3" borderId="38" xfId="0" applyFont="1" applyFill="1" applyBorder="1" applyAlignment="1">
      <alignment vertical="center"/>
    </xf>
    <xf numFmtId="0" fontId="10" fillId="3" borderId="39" xfId="0" applyFont="1" applyFill="1" applyBorder="1" applyAlignment="1">
      <alignment vertical="center"/>
    </xf>
    <xf numFmtId="174" fontId="7" fillId="2" borderId="3" xfId="0" applyNumberFormat="1" applyFont="1" applyFill="1" applyBorder="1" applyAlignment="1">
      <alignment vertical="center"/>
    </xf>
    <xf numFmtId="174" fontId="7" fillId="2" borderId="35" xfId="0" applyNumberFormat="1" applyFont="1" applyFill="1" applyBorder="1" applyAlignment="1">
      <alignment vertical="center"/>
    </xf>
    <xf numFmtId="174" fontId="7" fillId="2" borderId="36" xfId="0" applyNumberFormat="1" applyFont="1" applyFill="1" applyBorder="1" applyAlignment="1">
      <alignment vertical="center"/>
    </xf>
    <xf numFmtId="2" fontId="7" fillId="2" borderId="5" xfId="0" applyNumberFormat="1" applyFont="1" applyFill="1" applyBorder="1" applyAlignment="1">
      <alignment vertical="center"/>
    </xf>
    <xf numFmtId="175" fontId="7" fillId="2" borderId="35" xfId="0" applyNumberFormat="1" applyFont="1" applyFill="1" applyBorder="1" applyAlignment="1">
      <alignment vertical="center"/>
    </xf>
    <xf numFmtId="2" fontId="7" fillId="2" borderId="32" xfId="0" applyNumberFormat="1" applyFont="1" applyFill="1" applyBorder="1" applyAlignment="1">
      <alignment vertical="center"/>
    </xf>
    <xf numFmtId="2" fontId="10" fillId="2" borderId="17" xfId="0" applyNumberFormat="1" applyFont="1" applyFill="1" applyBorder="1" applyAlignment="1">
      <alignment vertical="center"/>
    </xf>
    <xf numFmtId="2" fontId="10" fillId="2" borderId="40" xfId="0" applyNumberFormat="1" applyFont="1" applyFill="1" applyBorder="1" applyAlignment="1">
      <alignment vertical="center"/>
    </xf>
    <xf numFmtId="2" fontId="10" fillId="2" borderId="22" xfId="0" applyNumberFormat="1" applyFont="1" applyFill="1" applyBorder="1" applyAlignment="1">
      <alignment vertical="center"/>
    </xf>
    <xf numFmtId="2" fontId="10" fillId="2" borderId="23" xfId="0" applyNumberFormat="1" applyFont="1" applyFill="1" applyBorder="1" applyAlignment="1">
      <alignment vertical="center"/>
    </xf>
    <xf numFmtId="2" fontId="10" fillId="2" borderId="24" xfId="0" applyNumberFormat="1" applyFont="1" applyFill="1" applyBorder="1" applyAlignment="1">
      <alignment vertical="center"/>
    </xf>
    <xf numFmtId="2" fontId="10" fillId="2" borderId="41" xfId="0" applyNumberFormat="1" applyFont="1" applyFill="1" applyBorder="1" applyAlignment="1">
      <alignment vertical="center"/>
    </xf>
    <xf numFmtId="2" fontId="10" fillId="2" borderId="25" xfId="0" applyNumberFormat="1" applyFont="1" applyFill="1" applyBorder="1" applyAlignment="1">
      <alignment vertical="center"/>
    </xf>
    <xf numFmtId="2" fontId="10" fillId="2" borderId="26" xfId="0" applyNumberFormat="1" applyFont="1" applyFill="1" applyBorder="1" applyAlignment="1">
      <alignment vertical="center"/>
    </xf>
    <xf numFmtId="9" fontId="10" fillId="2" borderId="13" xfId="0" applyNumberFormat="1" applyFont="1" applyFill="1" applyBorder="1" applyAlignment="1">
      <alignment vertical="center" wrapText="1"/>
    </xf>
    <xf numFmtId="2" fontId="10" fillId="2" borderId="13" xfId="0" applyNumberFormat="1" applyFont="1" applyFill="1" applyBorder="1" applyAlignment="1">
      <alignment vertical="center"/>
    </xf>
    <xf numFmtId="1" fontId="10" fillId="2" borderId="13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vertical="center"/>
    </xf>
    <xf numFmtId="174" fontId="10" fillId="2" borderId="22" xfId="0" applyNumberFormat="1" applyFont="1" applyFill="1" applyBorder="1" applyAlignment="1">
      <alignment vertical="center"/>
    </xf>
    <xf numFmtId="174" fontId="10" fillId="2" borderId="23" xfId="0" applyNumberFormat="1" applyFont="1" applyFill="1" applyBorder="1" applyAlignment="1">
      <alignment vertical="center"/>
    </xf>
    <xf numFmtId="174" fontId="10" fillId="2" borderId="24" xfId="0" applyNumberFormat="1" applyFont="1" applyFill="1" applyBorder="1" applyAlignment="1">
      <alignment vertical="center"/>
    </xf>
    <xf numFmtId="1" fontId="10" fillId="2" borderId="23" xfId="0" applyNumberFormat="1" applyFont="1" applyFill="1" applyBorder="1" applyAlignment="1">
      <alignment vertical="center"/>
    </xf>
    <xf numFmtId="1" fontId="10" fillId="2" borderId="22" xfId="0" applyNumberFormat="1" applyFont="1" applyFill="1" applyBorder="1" applyAlignment="1">
      <alignment vertical="center"/>
    </xf>
    <xf numFmtId="174" fontId="10" fillId="2" borderId="41" xfId="0" applyNumberFormat="1" applyFont="1" applyFill="1" applyBorder="1" applyAlignment="1">
      <alignment vertical="center"/>
    </xf>
    <xf numFmtId="174" fontId="10" fillId="2" borderId="25" xfId="0" applyNumberFormat="1" applyFont="1" applyFill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0" fontId="7" fillId="3" borderId="4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21" xfId="0" applyFont="1" applyFill="1" applyBorder="1" applyAlignment="1">
      <alignment vertical="center"/>
    </xf>
    <xf numFmtId="2" fontId="10" fillId="0" borderId="17" xfId="0" applyNumberFormat="1" applyFont="1" applyFill="1" applyBorder="1" applyAlignment="1">
      <alignment vertical="center" wrapText="1"/>
    </xf>
    <xf numFmtId="174" fontId="10" fillId="0" borderId="22" xfId="0" applyNumberFormat="1" applyFont="1" applyFill="1" applyBorder="1" applyAlignment="1">
      <alignment vertical="center" wrapText="1"/>
    </xf>
    <xf numFmtId="174" fontId="10" fillId="0" borderId="23" xfId="0" applyNumberFormat="1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1" fontId="10" fillId="0" borderId="17" xfId="0" applyNumberFormat="1" applyFont="1" applyFill="1" applyBorder="1" applyAlignment="1">
      <alignment vertical="center"/>
    </xf>
    <xf numFmtId="2" fontId="7" fillId="0" borderId="9" xfId="0" applyNumberFormat="1" applyFont="1" applyFill="1" applyBorder="1" applyAlignment="1">
      <alignment vertical="center"/>
    </xf>
    <xf numFmtId="2" fontId="7" fillId="0" borderId="36" xfId="0" applyNumberFormat="1" applyFont="1" applyFill="1" applyBorder="1" applyAlignment="1">
      <alignment vertical="center"/>
    </xf>
    <xf numFmtId="2" fontId="10" fillId="0" borderId="17" xfId="0" applyNumberFormat="1" applyFont="1" applyFill="1" applyBorder="1" applyAlignment="1">
      <alignment vertical="center"/>
    </xf>
    <xf numFmtId="174" fontId="10" fillId="0" borderId="22" xfId="0" applyNumberFormat="1" applyFont="1" applyFill="1" applyBorder="1" applyAlignment="1">
      <alignment vertical="center"/>
    </xf>
    <xf numFmtId="174" fontId="10" fillId="0" borderId="23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2" fontId="7" fillId="0" borderId="5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1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2" borderId="5" xfId="0" applyFont="1" applyFill="1" applyBorder="1" applyAlignment="1">
      <alignment/>
    </xf>
    <xf numFmtId="10" fontId="7" fillId="2" borderId="2" xfId="0" applyNumberFormat="1" applyFont="1" applyFill="1" applyBorder="1" applyAlignment="1">
      <alignment/>
    </xf>
    <xf numFmtId="3" fontId="7" fillId="2" borderId="4" xfId="0" applyNumberFormat="1" applyFont="1" applyFill="1" applyBorder="1" applyAlignment="1">
      <alignment/>
    </xf>
    <xf numFmtId="174" fontId="7" fillId="2" borderId="0" xfId="0" applyNumberFormat="1" applyFont="1" applyFill="1" applyBorder="1" applyAlignment="1">
      <alignment/>
    </xf>
    <xf numFmtId="174" fontId="7" fillId="2" borderId="2" xfId="0" applyNumberFormat="1" applyFont="1" applyFill="1" applyBorder="1" applyAlignment="1">
      <alignment/>
    </xf>
    <xf numFmtId="1" fontId="7" fillId="2" borderId="2" xfId="0" applyNumberFormat="1" applyFont="1" applyFill="1" applyBorder="1" applyAlignment="1">
      <alignment/>
    </xf>
    <xf numFmtId="1" fontId="7" fillId="2" borderId="43" xfId="0" applyNumberFormat="1" applyFont="1" applyFill="1" applyBorder="1" applyAlignment="1">
      <alignment/>
    </xf>
    <xf numFmtId="1" fontId="7" fillId="2" borderId="44" xfId="0" applyNumberFormat="1" applyFont="1" applyFill="1" applyBorder="1" applyAlignment="1">
      <alignment/>
    </xf>
    <xf numFmtId="1" fontId="7" fillId="2" borderId="42" xfId="0" applyNumberFormat="1" applyFont="1" applyFill="1" applyBorder="1" applyAlignment="1">
      <alignment/>
    </xf>
    <xf numFmtId="1" fontId="7" fillId="2" borderId="45" xfId="0" applyNumberFormat="1" applyFont="1" applyFill="1" applyBorder="1" applyAlignment="1">
      <alignment/>
    </xf>
    <xf numFmtId="9" fontId="7" fillId="2" borderId="0" xfId="0" applyNumberFormat="1" applyFont="1" applyFill="1" applyBorder="1" applyAlignment="1">
      <alignment/>
    </xf>
    <xf numFmtId="9" fontId="7" fillId="2" borderId="2" xfId="0" applyNumberFormat="1" applyFont="1" applyFill="1" applyBorder="1" applyAlignment="1">
      <alignment/>
    </xf>
    <xf numFmtId="177" fontId="7" fillId="2" borderId="4" xfId="0" applyNumberFormat="1" applyFont="1" applyFill="1" applyBorder="1" applyAlignment="1">
      <alignment vertical="top"/>
    </xf>
    <xf numFmtId="3" fontId="7" fillId="2" borderId="2" xfId="0" applyNumberFormat="1" applyFont="1" applyFill="1" applyBorder="1" applyAlignment="1">
      <alignment/>
    </xf>
    <xf numFmtId="174" fontId="7" fillId="2" borderId="45" xfId="0" applyNumberFormat="1" applyFont="1" applyFill="1" applyBorder="1" applyAlignment="1">
      <alignment/>
    </xf>
    <xf numFmtId="176" fontId="7" fillId="2" borderId="2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" fontId="8" fillId="0" borderId="5" xfId="0" applyNumberFormat="1" applyFont="1" applyFill="1" applyBorder="1" applyAlignment="1">
      <alignment/>
    </xf>
    <xf numFmtId="177" fontId="7" fillId="2" borderId="5" xfId="0" applyNumberFormat="1" applyFont="1" applyFill="1" applyBorder="1" applyAlignment="1">
      <alignment vertical="center"/>
    </xf>
    <xf numFmtId="177" fontId="7" fillId="2" borderId="7" xfId="0" applyNumberFormat="1" applyFont="1" applyFill="1" applyBorder="1" applyAlignment="1">
      <alignment vertical="center"/>
    </xf>
    <xf numFmtId="2" fontId="7" fillId="2" borderId="2" xfId="0" applyNumberFormat="1" applyFont="1" applyFill="1" applyBorder="1" applyAlignment="1">
      <alignment/>
    </xf>
    <xf numFmtId="1" fontId="7" fillId="2" borderId="4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wrapText="1"/>
    </xf>
    <xf numFmtId="3" fontId="7" fillId="2" borderId="45" xfId="0" applyNumberFormat="1" applyFont="1" applyFill="1" applyBorder="1" applyAlignment="1">
      <alignment vertical="top"/>
    </xf>
    <xf numFmtId="3" fontId="7" fillId="2" borderId="4" xfId="0" applyNumberFormat="1" applyFont="1" applyFill="1" applyBorder="1" applyAlignment="1">
      <alignment vertical="top"/>
    </xf>
    <xf numFmtId="2" fontId="7" fillId="2" borderId="7" xfId="0" applyNumberFormat="1" applyFont="1" applyFill="1" applyBorder="1" applyAlignment="1">
      <alignment/>
    </xf>
    <xf numFmtId="0" fontId="8" fillId="0" borderId="7" xfId="0" applyFont="1" applyBorder="1" applyAlignment="1">
      <alignment horizontal="left" vertical="center"/>
    </xf>
    <xf numFmtId="3" fontId="8" fillId="2" borderId="7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" fontId="9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7" fillId="0" borderId="4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7" fillId="0" borderId="31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46" xfId="0" applyFont="1" applyBorder="1" applyAlignment="1">
      <alignment/>
    </xf>
    <xf numFmtId="0" fontId="8" fillId="0" borderId="31" xfId="0" applyFont="1" applyFill="1" applyBorder="1" applyAlignment="1">
      <alignment/>
    </xf>
    <xf numFmtId="0" fontId="7" fillId="0" borderId="46" xfId="0" applyFont="1" applyBorder="1" applyAlignment="1">
      <alignment wrapText="1"/>
    </xf>
    <xf numFmtId="0" fontId="7" fillId="0" borderId="46" xfId="0" applyFont="1" applyBorder="1" applyAlignment="1">
      <alignment horizontal="left" wrapText="1"/>
    </xf>
    <xf numFmtId="0" fontId="7" fillId="0" borderId="31" xfId="0" applyFont="1" applyBorder="1" applyAlignment="1">
      <alignment vertical="center"/>
    </xf>
    <xf numFmtId="0" fontId="7" fillId="0" borderId="47" xfId="0" applyFont="1" applyBorder="1" applyAlignment="1">
      <alignment wrapText="1"/>
    </xf>
    <xf numFmtId="0" fontId="7" fillId="0" borderId="48" xfId="0" applyFont="1" applyBorder="1" applyAlignment="1">
      <alignment/>
    </xf>
    <xf numFmtId="0" fontId="7" fillId="0" borderId="46" xfId="0" applyFont="1" applyBorder="1" applyAlignment="1">
      <alignment vertical="top" wrapText="1"/>
    </xf>
    <xf numFmtId="0" fontId="7" fillId="0" borderId="32" xfId="0" applyFont="1" applyBorder="1" applyAlignment="1">
      <alignment vertical="center"/>
    </xf>
    <xf numFmtId="0" fontId="7" fillId="0" borderId="8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174" fontId="7" fillId="3" borderId="2" xfId="0" applyNumberFormat="1" applyFont="1" applyFill="1" applyBorder="1" applyAlignment="1">
      <alignment/>
    </xf>
    <xf numFmtId="1" fontId="7" fillId="2" borderId="30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1" fontId="7" fillId="2" borderId="49" xfId="0" applyNumberFormat="1" applyFont="1" applyFill="1" applyBorder="1" applyAlignment="1">
      <alignment vertical="center"/>
    </xf>
    <xf numFmtId="1" fontId="7" fillId="2" borderId="50" xfId="0" applyNumberFormat="1" applyFont="1" applyFill="1" applyBorder="1" applyAlignment="1">
      <alignment vertical="center"/>
    </xf>
    <xf numFmtId="1" fontId="7" fillId="2" borderId="51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3" fillId="0" borderId="0" xfId="0" applyFont="1" applyFill="1" applyAlignment="1">
      <alignment vertical="top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8" xfId="0" applyFont="1" applyFill="1" applyBorder="1" applyAlignment="1">
      <alignment/>
    </xf>
    <xf numFmtId="0" fontId="7" fillId="0" borderId="9" xfId="0" applyFont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="150" zoomScaleNormal="150" zoomScaleSheetLayoutView="150" workbookViewId="0" topLeftCell="A20">
      <selection activeCell="B43" sqref="B43"/>
    </sheetView>
  </sheetViews>
  <sheetFormatPr defaultColWidth="11.00390625" defaultRowHeight="12"/>
  <cols>
    <col min="1" max="1" width="45.125" style="46" customWidth="1"/>
    <col min="2" max="2" width="11.50390625" style="43" bestFit="1" customWidth="1"/>
    <col min="3" max="3" width="10.875" style="58" customWidth="1"/>
    <col min="4" max="16384" width="10.875" style="43" customWidth="1"/>
  </cols>
  <sheetData>
    <row r="1" ht="12.75">
      <c r="A1" s="60" t="s">
        <v>143</v>
      </c>
    </row>
    <row r="2" ht="12.75">
      <c r="A2" s="46" t="s">
        <v>37</v>
      </c>
    </row>
    <row r="3" ht="15">
      <c r="A3" s="279"/>
    </row>
    <row r="4" ht="15">
      <c r="A4" s="279" t="s">
        <v>9</v>
      </c>
    </row>
    <row r="5" spans="1:3" ht="12">
      <c r="A5" s="60"/>
      <c r="C5" s="43"/>
    </row>
    <row r="6" spans="1:7" s="62" customFormat="1" ht="15.75" customHeight="1">
      <c r="A6" s="50" t="s">
        <v>168</v>
      </c>
      <c r="B6" s="43" t="s">
        <v>195</v>
      </c>
      <c r="C6" s="305" t="s">
        <v>171</v>
      </c>
      <c r="D6" s="43" t="s">
        <v>167</v>
      </c>
      <c r="E6" s="43" t="s">
        <v>0</v>
      </c>
      <c r="F6" s="43" t="s">
        <v>50</v>
      </c>
      <c r="G6" s="43" t="s">
        <v>42</v>
      </c>
    </row>
    <row r="7" spans="1:7" ht="12">
      <c r="A7" s="46" t="s">
        <v>133</v>
      </c>
      <c r="B7" s="126">
        <v>39</v>
      </c>
      <c r="C7" s="161">
        <f>$B7</f>
        <v>39</v>
      </c>
      <c r="D7" s="161">
        <f aca="true" t="shared" si="0" ref="D7:G9">$B7</f>
        <v>39</v>
      </c>
      <c r="E7" s="161">
        <f t="shared" si="0"/>
        <v>39</v>
      </c>
      <c r="F7" s="161">
        <f t="shared" si="0"/>
        <v>39</v>
      </c>
      <c r="G7" s="161">
        <f t="shared" si="0"/>
        <v>39</v>
      </c>
    </row>
    <row r="8" spans="1:7" s="60" customFormat="1" ht="12">
      <c r="A8" s="46" t="s">
        <v>29</v>
      </c>
      <c r="B8" s="127">
        <v>5</v>
      </c>
      <c r="C8" s="67">
        <f>$B8</f>
        <v>5</v>
      </c>
      <c r="D8" s="67">
        <f t="shared" si="0"/>
        <v>5</v>
      </c>
      <c r="E8" s="67">
        <f t="shared" si="0"/>
        <v>5</v>
      </c>
      <c r="F8" s="67">
        <f t="shared" si="0"/>
        <v>5</v>
      </c>
      <c r="G8" s="67">
        <f t="shared" si="0"/>
        <v>5</v>
      </c>
    </row>
    <row r="9" spans="1:7" s="60" customFormat="1" ht="12">
      <c r="A9" s="46" t="s">
        <v>99</v>
      </c>
      <c r="B9" s="127">
        <v>5</v>
      </c>
      <c r="C9" s="67">
        <f>$B9</f>
        <v>5</v>
      </c>
      <c r="D9" s="67">
        <f t="shared" si="0"/>
        <v>5</v>
      </c>
      <c r="E9" s="67">
        <f t="shared" si="0"/>
        <v>5</v>
      </c>
      <c r="F9" s="67">
        <f t="shared" si="0"/>
        <v>5</v>
      </c>
      <c r="G9" s="67">
        <f t="shared" si="0"/>
        <v>5</v>
      </c>
    </row>
    <row r="10" spans="1:7" s="60" customFormat="1" ht="12">
      <c r="A10" s="46" t="s">
        <v>170</v>
      </c>
      <c r="B10" s="127">
        <v>15</v>
      </c>
      <c r="C10" s="127">
        <v>30</v>
      </c>
      <c r="D10" s="127">
        <v>40</v>
      </c>
      <c r="E10" s="127">
        <v>50</v>
      </c>
      <c r="F10" s="127">
        <v>60</v>
      </c>
      <c r="G10" s="127">
        <v>60</v>
      </c>
    </row>
    <row r="11" spans="1:7" s="60" customFormat="1" ht="12">
      <c r="A11" s="46" t="s">
        <v>129</v>
      </c>
      <c r="B11" s="127">
        <v>30</v>
      </c>
      <c r="C11" s="127">
        <v>50</v>
      </c>
      <c r="D11" s="127">
        <v>70</v>
      </c>
      <c r="E11" s="127">
        <v>80</v>
      </c>
      <c r="F11" s="127">
        <v>100</v>
      </c>
      <c r="G11" s="127">
        <v>120</v>
      </c>
    </row>
    <row r="12" spans="1:7" s="64" customFormat="1" ht="15.75" customHeight="1">
      <c r="A12" s="50" t="s">
        <v>107</v>
      </c>
      <c r="B12" s="63"/>
      <c r="C12" s="162"/>
      <c r="D12" s="162"/>
      <c r="E12" s="162"/>
      <c r="F12" s="162"/>
      <c r="G12" s="162"/>
    </row>
    <row r="13" spans="1:7" s="60" customFormat="1" ht="12">
      <c r="A13" s="46" t="s">
        <v>142</v>
      </c>
      <c r="B13" s="149">
        <v>1970</v>
      </c>
      <c r="C13" s="161">
        <f>$B13</f>
        <v>1970</v>
      </c>
      <c r="D13" s="161">
        <f aca="true" t="shared" si="1" ref="D13:G14">$B13</f>
        <v>1970</v>
      </c>
      <c r="E13" s="161">
        <f t="shared" si="1"/>
        <v>1970</v>
      </c>
      <c r="F13" s="161">
        <f t="shared" si="1"/>
        <v>1970</v>
      </c>
      <c r="G13" s="161">
        <f t="shared" si="1"/>
        <v>1970</v>
      </c>
    </row>
    <row r="14" spans="1:7" ht="12">
      <c r="A14" s="46" t="s">
        <v>108</v>
      </c>
      <c r="B14" s="128">
        <v>1</v>
      </c>
      <c r="C14" s="158">
        <f>$B14</f>
        <v>1</v>
      </c>
      <c r="D14" s="67">
        <f t="shared" si="1"/>
        <v>1</v>
      </c>
      <c r="E14" s="67">
        <f t="shared" si="1"/>
        <v>1</v>
      </c>
      <c r="F14" s="67">
        <f t="shared" si="1"/>
        <v>1</v>
      </c>
      <c r="G14" s="67">
        <f t="shared" si="1"/>
        <v>1</v>
      </c>
    </row>
    <row r="15" spans="1:7" ht="12">
      <c r="A15" s="46" t="s">
        <v>138</v>
      </c>
      <c r="B15" s="69">
        <f aca="true" t="shared" si="2" ref="B15:G15">(B14*B$7)/B$13</f>
        <v>0.01979695431472081</v>
      </c>
      <c r="C15" s="69">
        <f t="shared" si="2"/>
        <v>0.01979695431472081</v>
      </c>
      <c r="D15" s="69">
        <f t="shared" si="2"/>
        <v>0.01979695431472081</v>
      </c>
      <c r="E15" s="69">
        <f t="shared" si="2"/>
        <v>0.01979695431472081</v>
      </c>
      <c r="F15" s="69">
        <f t="shared" si="2"/>
        <v>0.01979695431472081</v>
      </c>
      <c r="G15" s="69">
        <f t="shared" si="2"/>
        <v>0.01979695431472081</v>
      </c>
    </row>
    <row r="16" spans="1:7" ht="12">
      <c r="A16" s="46" t="s">
        <v>137</v>
      </c>
      <c r="B16" s="128">
        <v>7.5</v>
      </c>
      <c r="C16" s="128">
        <v>7.5</v>
      </c>
      <c r="D16" s="128">
        <v>10</v>
      </c>
      <c r="E16" s="128">
        <v>12.5</v>
      </c>
      <c r="F16" s="128">
        <v>15</v>
      </c>
      <c r="G16" s="128">
        <v>15</v>
      </c>
    </row>
    <row r="17" spans="1:7" ht="12">
      <c r="A17" s="46" t="s">
        <v>138</v>
      </c>
      <c r="B17" s="69">
        <f aca="true" t="shared" si="3" ref="B17:G17">(B16*B$7)/B$13</f>
        <v>0.1484771573604061</v>
      </c>
      <c r="C17" s="69">
        <f t="shared" si="3"/>
        <v>0.1484771573604061</v>
      </c>
      <c r="D17" s="69">
        <f t="shared" si="3"/>
        <v>0.19796954314720813</v>
      </c>
      <c r="E17" s="69">
        <f t="shared" si="3"/>
        <v>0.24746192893401014</v>
      </c>
      <c r="F17" s="69">
        <f t="shared" si="3"/>
        <v>0.2969543147208122</v>
      </c>
      <c r="G17" s="69">
        <f t="shared" si="3"/>
        <v>0.2969543147208122</v>
      </c>
    </row>
    <row r="18" spans="1:7" ht="21.75">
      <c r="A18" s="46" t="s">
        <v>151</v>
      </c>
      <c r="B18" s="149">
        <v>20</v>
      </c>
      <c r="C18" s="68">
        <f>$B18</f>
        <v>20</v>
      </c>
      <c r="D18" s="68">
        <f>$B18</f>
        <v>20</v>
      </c>
      <c r="E18" s="68">
        <f>$B18</f>
        <v>20</v>
      </c>
      <c r="F18" s="68">
        <f>$B18</f>
        <v>20</v>
      </c>
      <c r="G18" s="68">
        <f>$B18</f>
        <v>20</v>
      </c>
    </row>
    <row r="19" spans="1:7" ht="12">
      <c r="A19" s="46" t="s">
        <v>12</v>
      </c>
      <c r="B19" s="163">
        <v>1</v>
      </c>
      <c r="C19" s="71">
        <f aca="true" t="shared" si="4" ref="C19:G20">$B19</f>
        <v>1</v>
      </c>
      <c r="D19" s="71">
        <f t="shared" si="4"/>
        <v>1</v>
      </c>
      <c r="E19" s="71">
        <f t="shared" si="4"/>
        <v>1</v>
      </c>
      <c r="F19" s="71">
        <f t="shared" si="4"/>
        <v>1</v>
      </c>
      <c r="G19" s="71">
        <f t="shared" si="4"/>
        <v>1</v>
      </c>
    </row>
    <row r="20" spans="1:7" ht="21.75">
      <c r="A20" s="46" t="s">
        <v>189</v>
      </c>
      <c r="B20" s="163">
        <v>5</v>
      </c>
      <c r="C20" s="71">
        <f t="shared" si="4"/>
        <v>5</v>
      </c>
      <c r="D20" s="71">
        <f t="shared" si="4"/>
        <v>5</v>
      </c>
      <c r="E20" s="71">
        <f t="shared" si="4"/>
        <v>5</v>
      </c>
      <c r="F20" s="71">
        <f t="shared" si="4"/>
        <v>5</v>
      </c>
      <c r="G20" s="71">
        <f t="shared" si="4"/>
        <v>5</v>
      </c>
    </row>
    <row r="21" spans="1:7" ht="21.75">
      <c r="A21" s="46" t="s">
        <v>88</v>
      </c>
      <c r="B21" s="72">
        <f aca="true" t="shared" si="5" ref="B21:G21">B20/(B7*5)/2</f>
        <v>0.01282051282051282</v>
      </c>
      <c r="C21" s="72">
        <f t="shared" si="5"/>
        <v>0.01282051282051282</v>
      </c>
      <c r="D21" s="72">
        <f t="shared" si="5"/>
        <v>0.01282051282051282</v>
      </c>
      <c r="E21" s="72">
        <f t="shared" si="5"/>
        <v>0.01282051282051282</v>
      </c>
      <c r="F21" s="72">
        <f t="shared" si="5"/>
        <v>0.01282051282051282</v>
      </c>
      <c r="G21" s="72">
        <f t="shared" si="5"/>
        <v>0.01282051282051282</v>
      </c>
    </row>
    <row r="22" spans="1:7" ht="21.75">
      <c r="A22" s="46" t="s">
        <v>175</v>
      </c>
      <c r="B22" s="72">
        <f aca="true" t="shared" si="6" ref="B22:G22">42/B13</f>
        <v>0.02131979695431472</v>
      </c>
      <c r="C22" s="72">
        <f t="shared" si="6"/>
        <v>0.02131979695431472</v>
      </c>
      <c r="D22" s="72">
        <f t="shared" si="6"/>
        <v>0.02131979695431472</v>
      </c>
      <c r="E22" s="72">
        <f t="shared" si="6"/>
        <v>0.02131979695431472</v>
      </c>
      <c r="F22" s="72">
        <f t="shared" si="6"/>
        <v>0.02131979695431472</v>
      </c>
      <c r="G22" s="72">
        <f t="shared" si="6"/>
        <v>0.02131979695431472</v>
      </c>
    </row>
    <row r="23" spans="1:7" ht="21.75">
      <c r="A23" s="46" t="s">
        <v>89</v>
      </c>
      <c r="B23" s="70">
        <v>0.03</v>
      </c>
      <c r="C23" s="70">
        <f>$B23</f>
        <v>0.03</v>
      </c>
      <c r="D23" s="70">
        <f>$B23</f>
        <v>0.03</v>
      </c>
      <c r="E23" s="70">
        <f>$B23</f>
        <v>0.03</v>
      </c>
      <c r="F23" s="70">
        <f>$B23</f>
        <v>0.03</v>
      </c>
      <c r="G23" s="70">
        <f>$B23</f>
        <v>0.03</v>
      </c>
    </row>
    <row r="24" spans="1:7" s="64" customFormat="1" ht="12">
      <c r="A24" s="309" t="s">
        <v>135</v>
      </c>
      <c r="B24" s="63"/>
      <c r="C24" s="63"/>
      <c r="D24" s="63"/>
      <c r="E24" s="63"/>
      <c r="F24" s="63"/>
      <c r="G24" s="63"/>
    </row>
    <row r="25" spans="1:7" s="60" customFormat="1" ht="12">
      <c r="A25" s="46" t="s">
        <v>90</v>
      </c>
      <c r="B25" s="164">
        <v>120000</v>
      </c>
      <c r="C25" s="73">
        <f>$B25</f>
        <v>120000</v>
      </c>
      <c r="D25" s="73">
        <f>$B25</f>
        <v>120000</v>
      </c>
      <c r="E25" s="73">
        <f>$B25</f>
        <v>120000</v>
      </c>
      <c r="F25" s="73">
        <f>$B25</f>
        <v>120000</v>
      </c>
      <c r="G25" s="73">
        <f>$B25</f>
        <v>120000</v>
      </c>
    </row>
    <row r="26" spans="1:7" ht="12">
      <c r="A26" s="46" t="s">
        <v>91</v>
      </c>
      <c r="B26" s="164">
        <v>115161.8</v>
      </c>
      <c r="C26" s="73">
        <f aca="true" t="shared" si="7" ref="C26:G30">$B26</f>
        <v>115161.8</v>
      </c>
      <c r="D26" s="73">
        <f t="shared" si="7"/>
        <v>115161.8</v>
      </c>
      <c r="E26" s="73">
        <f t="shared" si="7"/>
        <v>115161.8</v>
      </c>
      <c r="F26" s="73">
        <f t="shared" si="7"/>
        <v>115161.8</v>
      </c>
      <c r="G26" s="73">
        <f t="shared" si="7"/>
        <v>115161.8</v>
      </c>
    </row>
    <row r="27" spans="1:7" ht="21.75">
      <c r="A27" s="46" t="s">
        <v>162</v>
      </c>
      <c r="B27" s="164">
        <v>98926</v>
      </c>
      <c r="C27" s="73">
        <f t="shared" si="7"/>
        <v>98926</v>
      </c>
      <c r="D27" s="73">
        <f t="shared" si="7"/>
        <v>98926</v>
      </c>
      <c r="E27" s="73">
        <f t="shared" si="7"/>
        <v>98926</v>
      </c>
      <c r="F27" s="73">
        <f t="shared" si="7"/>
        <v>98926</v>
      </c>
      <c r="G27" s="73">
        <f t="shared" si="7"/>
        <v>98926</v>
      </c>
    </row>
    <row r="28" spans="1:7" ht="21.75">
      <c r="A28" s="46" t="s">
        <v>165</v>
      </c>
      <c r="B28" s="164">
        <v>63000</v>
      </c>
      <c r="C28" s="73">
        <f t="shared" si="7"/>
        <v>63000</v>
      </c>
      <c r="D28" s="73">
        <f t="shared" si="7"/>
        <v>63000</v>
      </c>
      <c r="E28" s="73">
        <f t="shared" si="7"/>
        <v>63000</v>
      </c>
      <c r="F28" s="73">
        <f t="shared" si="7"/>
        <v>63000</v>
      </c>
      <c r="G28" s="73">
        <f t="shared" si="7"/>
        <v>63000</v>
      </c>
    </row>
    <row r="29" spans="1:7" ht="12">
      <c r="A29" s="46" t="s">
        <v>136</v>
      </c>
      <c r="B29" s="164">
        <v>68000</v>
      </c>
      <c r="C29" s="73">
        <f t="shared" si="7"/>
        <v>68000</v>
      </c>
      <c r="D29" s="73">
        <f t="shared" si="7"/>
        <v>68000</v>
      </c>
      <c r="E29" s="73">
        <f t="shared" si="7"/>
        <v>68000</v>
      </c>
      <c r="F29" s="73">
        <f t="shared" si="7"/>
        <v>68000</v>
      </c>
      <c r="G29" s="73">
        <f t="shared" si="7"/>
        <v>68000</v>
      </c>
    </row>
    <row r="30" spans="1:7" ht="21.75">
      <c r="A30" s="46" t="s">
        <v>163</v>
      </c>
      <c r="B30" s="165">
        <v>0.1785</v>
      </c>
      <c r="C30" s="69">
        <f t="shared" si="7"/>
        <v>0.1785</v>
      </c>
      <c r="D30" s="69">
        <f t="shared" si="7"/>
        <v>0.1785</v>
      </c>
      <c r="E30" s="69">
        <f t="shared" si="7"/>
        <v>0.1785</v>
      </c>
      <c r="F30" s="69">
        <f t="shared" si="7"/>
        <v>0.1785</v>
      </c>
      <c r="G30" s="69">
        <f t="shared" si="7"/>
        <v>0.1785</v>
      </c>
    </row>
    <row r="31" spans="1:7" s="64" customFormat="1" ht="15.75" customHeight="1">
      <c r="A31" s="50" t="s">
        <v>145</v>
      </c>
      <c r="B31" s="63"/>
      <c r="C31" s="63"/>
      <c r="D31" s="63"/>
      <c r="E31" s="63"/>
      <c r="F31" s="63"/>
      <c r="G31" s="63"/>
    </row>
    <row r="32" spans="1:7" s="64" customFormat="1" ht="12" customHeight="1">
      <c r="A32" s="271" t="s">
        <v>97</v>
      </c>
      <c r="B32" s="296">
        <v>3</v>
      </c>
      <c r="C32" s="296">
        <v>4</v>
      </c>
      <c r="D32" s="296">
        <v>4.5</v>
      </c>
      <c r="E32" s="296">
        <v>5</v>
      </c>
      <c r="F32" s="296">
        <v>6</v>
      </c>
      <c r="G32" s="296">
        <v>6</v>
      </c>
    </row>
    <row r="33" spans="1:7" ht="12">
      <c r="A33" s="46" t="s">
        <v>98</v>
      </c>
      <c r="B33" s="166">
        <v>3</v>
      </c>
      <c r="C33" s="74">
        <f>$B33</f>
        <v>3</v>
      </c>
      <c r="D33" s="74">
        <f>$B33</f>
        <v>3</v>
      </c>
      <c r="E33" s="74">
        <f>$B33</f>
        <v>3</v>
      </c>
      <c r="F33" s="74">
        <f>$B33</f>
        <v>3</v>
      </c>
      <c r="G33" s="74">
        <f>$B33</f>
        <v>3</v>
      </c>
    </row>
    <row r="34" spans="1:7" ht="12">
      <c r="A34" s="46" t="s">
        <v>45</v>
      </c>
      <c r="B34" s="166">
        <v>0.5</v>
      </c>
      <c r="C34" s="74">
        <f aca="true" t="shared" si="8" ref="C34:G39">$B34</f>
        <v>0.5</v>
      </c>
      <c r="D34" s="74">
        <f t="shared" si="8"/>
        <v>0.5</v>
      </c>
      <c r="E34" s="74">
        <f t="shared" si="8"/>
        <v>0.5</v>
      </c>
      <c r="F34" s="74">
        <f t="shared" si="8"/>
        <v>0.5</v>
      </c>
      <c r="G34" s="74">
        <f t="shared" si="8"/>
        <v>0.5</v>
      </c>
    </row>
    <row r="35" spans="1:7" ht="12">
      <c r="A35" s="46" t="s">
        <v>157</v>
      </c>
      <c r="B35" s="166">
        <v>1.5</v>
      </c>
      <c r="C35" s="74">
        <f t="shared" si="8"/>
        <v>1.5</v>
      </c>
      <c r="D35" s="74">
        <f t="shared" si="8"/>
        <v>1.5</v>
      </c>
      <c r="E35" s="74">
        <f t="shared" si="8"/>
        <v>1.5</v>
      </c>
      <c r="F35" s="74">
        <f t="shared" si="8"/>
        <v>1.5</v>
      </c>
      <c r="G35" s="74">
        <f t="shared" si="8"/>
        <v>1.5</v>
      </c>
    </row>
    <row r="36" spans="1:7" s="64" customFormat="1" ht="15.75" customHeight="1">
      <c r="A36" s="50" t="s">
        <v>123</v>
      </c>
      <c r="B36" s="63"/>
      <c r="C36" s="63"/>
      <c r="D36" s="63"/>
      <c r="E36" s="63"/>
      <c r="F36" s="63"/>
      <c r="G36" s="63"/>
    </row>
    <row r="37" spans="1:7" s="64" customFormat="1" ht="15" customHeight="1">
      <c r="A37" s="271" t="s">
        <v>124</v>
      </c>
      <c r="B37" s="166">
        <v>3</v>
      </c>
      <c r="C37" s="74">
        <f t="shared" si="8"/>
        <v>3</v>
      </c>
      <c r="D37" s="74">
        <f t="shared" si="8"/>
        <v>3</v>
      </c>
      <c r="E37" s="74">
        <f t="shared" si="8"/>
        <v>3</v>
      </c>
      <c r="F37" s="74">
        <f t="shared" si="8"/>
        <v>3</v>
      </c>
      <c r="G37" s="74">
        <f t="shared" si="8"/>
        <v>3</v>
      </c>
    </row>
    <row r="38" spans="1:7" ht="12">
      <c r="A38" s="46" t="s">
        <v>174</v>
      </c>
      <c r="B38" s="166">
        <v>10</v>
      </c>
      <c r="C38" s="74">
        <f t="shared" si="8"/>
        <v>10</v>
      </c>
      <c r="D38" s="74">
        <f t="shared" si="8"/>
        <v>10</v>
      </c>
      <c r="E38" s="74">
        <f t="shared" si="8"/>
        <v>10</v>
      </c>
      <c r="F38" s="74">
        <f t="shared" si="8"/>
        <v>10</v>
      </c>
      <c r="G38" s="74">
        <f t="shared" si="8"/>
        <v>10</v>
      </c>
    </row>
    <row r="39" spans="1:7" ht="12">
      <c r="A39" s="46" t="s">
        <v>173</v>
      </c>
      <c r="B39" s="166">
        <v>1.5</v>
      </c>
      <c r="C39" s="74">
        <f t="shared" si="8"/>
        <v>1.5</v>
      </c>
      <c r="D39" s="74">
        <f t="shared" si="8"/>
        <v>1.5</v>
      </c>
      <c r="E39" s="74">
        <f t="shared" si="8"/>
        <v>1.5</v>
      </c>
      <c r="F39" s="74">
        <f t="shared" si="8"/>
        <v>1.5</v>
      </c>
      <c r="G39" s="74">
        <f t="shared" si="8"/>
        <v>1.5</v>
      </c>
    </row>
    <row r="40" spans="1:7" s="64" customFormat="1" ht="12">
      <c r="A40" s="50" t="s">
        <v>146</v>
      </c>
      <c r="B40" s="63"/>
      <c r="C40" s="63"/>
      <c r="D40" s="63"/>
      <c r="E40" s="63"/>
      <c r="F40" s="63"/>
      <c r="G40" s="63"/>
    </row>
    <row r="41" spans="1:7" s="60" customFormat="1" ht="12">
      <c r="A41" s="46" t="s">
        <v>115</v>
      </c>
      <c r="B41" s="164">
        <v>240</v>
      </c>
      <c r="C41" s="73">
        <f aca="true" t="shared" si="9" ref="C41:G42">$B41</f>
        <v>240</v>
      </c>
      <c r="D41" s="73">
        <f t="shared" si="9"/>
        <v>240</v>
      </c>
      <c r="E41" s="73">
        <f t="shared" si="9"/>
        <v>240</v>
      </c>
      <c r="F41" s="73">
        <f t="shared" si="9"/>
        <v>240</v>
      </c>
      <c r="G41" s="73">
        <f t="shared" si="9"/>
        <v>240</v>
      </c>
    </row>
    <row r="42" spans="1:7" ht="12">
      <c r="A42" s="46" t="s">
        <v>193</v>
      </c>
      <c r="B42" s="127">
        <v>4</v>
      </c>
      <c r="C42" s="73">
        <f t="shared" si="9"/>
        <v>4</v>
      </c>
      <c r="D42" s="73">
        <f t="shared" si="9"/>
        <v>4</v>
      </c>
      <c r="E42" s="73">
        <f t="shared" si="9"/>
        <v>4</v>
      </c>
      <c r="F42" s="73">
        <f t="shared" si="9"/>
        <v>4</v>
      </c>
      <c r="G42" s="73">
        <f t="shared" si="9"/>
        <v>4</v>
      </c>
    </row>
    <row r="43" spans="1:7" s="64" customFormat="1" ht="12">
      <c r="A43" s="50" t="s">
        <v>101</v>
      </c>
      <c r="B43" s="63"/>
      <c r="C43" s="63"/>
      <c r="D43" s="63"/>
      <c r="E43" s="63"/>
      <c r="F43" s="63"/>
      <c r="G43" s="63"/>
    </row>
    <row r="44" spans="1:7" s="60" customFormat="1" ht="12">
      <c r="A44" s="46" t="s">
        <v>62</v>
      </c>
      <c r="B44" s="167">
        <v>0.03</v>
      </c>
      <c r="C44" s="70">
        <f>$B44</f>
        <v>0.03</v>
      </c>
      <c r="D44" s="70">
        <f aca="true" t="shared" si="10" ref="D44:G45">$B44</f>
        <v>0.03</v>
      </c>
      <c r="E44" s="70">
        <f t="shared" si="10"/>
        <v>0.03</v>
      </c>
      <c r="F44" s="70">
        <f t="shared" si="10"/>
        <v>0.03</v>
      </c>
      <c r="G44" s="70">
        <f t="shared" si="10"/>
        <v>0.03</v>
      </c>
    </row>
    <row r="45" spans="1:7" s="60" customFormat="1" ht="12">
      <c r="A45" s="46" t="s">
        <v>67</v>
      </c>
      <c r="B45" s="167">
        <v>0.02</v>
      </c>
      <c r="C45" s="70">
        <f>$B45</f>
        <v>0.02</v>
      </c>
      <c r="D45" s="70">
        <f t="shared" si="10"/>
        <v>0.02</v>
      </c>
      <c r="E45" s="70">
        <f t="shared" si="10"/>
        <v>0.02</v>
      </c>
      <c r="F45" s="70">
        <f t="shared" si="10"/>
        <v>0.02</v>
      </c>
      <c r="G45" s="70">
        <f t="shared" si="10"/>
        <v>0.02</v>
      </c>
    </row>
    <row r="46" spans="1:7" s="60" customFormat="1" ht="12">
      <c r="A46" s="280" t="s">
        <v>183</v>
      </c>
      <c r="B46" s="168">
        <f aca="true" t="shared" si="11" ref="B46:G46">SUM(B44:B45)</f>
        <v>0.05</v>
      </c>
      <c r="C46" s="168">
        <f t="shared" si="11"/>
        <v>0.05</v>
      </c>
      <c r="D46" s="168">
        <f t="shared" si="11"/>
        <v>0.05</v>
      </c>
      <c r="E46" s="168">
        <f t="shared" si="11"/>
        <v>0.05</v>
      </c>
      <c r="F46" s="168">
        <f t="shared" si="11"/>
        <v>0.05</v>
      </c>
      <c r="G46" s="168">
        <f t="shared" si="11"/>
        <v>0.05</v>
      </c>
    </row>
    <row r="47" spans="1:7" ht="12">
      <c r="A47" s="61" t="s">
        <v>164</v>
      </c>
      <c r="B47" s="169">
        <v>2</v>
      </c>
      <c r="C47" s="159">
        <f>$B47</f>
        <v>2</v>
      </c>
      <c r="D47" s="159">
        <f>$B47</f>
        <v>2</v>
      </c>
      <c r="E47" s="159">
        <f>$B47</f>
        <v>2</v>
      </c>
      <c r="F47" s="159">
        <f>$B47</f>
        <v>2</v>
      </c>
      <c r="G47" s="159">
        <f>$B47</f>
        <v>2</v>
      </c>
    </row>
    <row r="49" ht="12.75">
      <c r="A49" s="46" t="s">
        <v>28</v>
      </c>
    </row>
    <row r="76" ht="12.75">
      <c r="A76" s="281"/>
    </row>
  </sheetData>
  <printOptions/>
  <pageMargins left="0.984251968503937" right="0.5905511811023623" top="0.7874015748031497" bottom="0.5905511811023623" header="0.5118110236220472" footer="0.5118110236220472"/>
  <pageSetup fitToHeight="1" fitToWidth="1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7"/>
  <sheetViews>
    <sheetView zoomScale="200" zoomScaleNormal="200" workbookViewId="0" topLeftCell="A1">
      <pane xSplit="1" topLeftCell="AI1" activePane="topRight" state="frozen"/>
      <selection pane="topLeft" activeCell="A3" sqref="A3"/>
      <selection pane="topRight" activeCell="AP1" sqref="AP1:AS16384"/>
    </sheetView>
  </sheetViews>
  <sheetFormatPr defaultColWidth="11.00390625" defaultRowHeight="12"/>
  <cols>
    <col min="1" max="1" width="28.375" style="12" customWidth="1"/>
    <col min="2" max="2" width="5.50390625" style="12" customWidth="1"/>
    <col min="3" max="8" width="4.875" style="2" customWidth="1"/>
    <col min="9" max="12" width="4.875" style="2" hidden="1" customWidth="1"/>
    <col min="13" max="13" width="4.875" style="2" customWidth="1"/>
    <col min="14" max="19" width="4.875" style="54" customWidth="1"/>
    <col min="20" max="23" width="4.875" style="54" hidden="1" customWidth="1"/>
    <col min="24" max="27" width="4.875" style="54" customWidth="1"/>
    <col min="28" max="30" width="4.875" style="2" customWidth="1"/>
    <col min="31" max="34" width="4.875" style="2" hidden="1" customWidth="1"/>
    <col min="35" max="57" width="4.875" style="2" customWidth="1"/>
    <col min="58" max="16384" width="10.875" style="2" customWidth="1"/>
  </cols>
  <sheetData>
    <row r="1" ht="12">
      <c r="A1" s="12" t="e">
        <f>Basiswerte!#REF!</f>
        <v>#REF!</v>
      </c>
    </row>
    <row r="2" ht="15" customHeight="1">
      <c r="A2" s="12" t="str">
        <f>Basiswerte!A1</f>
        <v>Budgettool zur Berechnung der Betriebskosten eines Tagesschulangebotes</v>
      </c>
    </row>
    <row r="3" spans="1:2" ht="15">
      <c r="A3" s="57"/>
      <c r="B3" s="57"/>
    </row>
    <row r="4" spans="1:27" s="1" customFormat="1" ht="15">
      <c r="A4" s="57" t="s">
        <v>56</v>
      </c>
      <c r="B4" s="57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6" spans="1:57" ht="12">
      <c r="A6" s="116" t="s">
        <v>57</v>
      </c>
      <c r="C6" s="77" t="s">
        <v>188</v>
      </c>
      <c r="D6" s="78"/>
      <c r="E6" s="78"/>
      <c r="F6" s="78"/>
      <c r="G6" s="78"/>
      <c r="H6" s="78"/>
      <c r="I6" s="78"/>
      <c r="J6" s="78"/>
      <c r="K6" s="78"/>
      <c r="L6" s="78"/>
      <c r="M6" s="79"/>
      <c r="N6" s="77" t="s">
        <v>21</v>
      </c>
      <c r="O6" s="78"/>
      <c r="P6" s="78"/>
      <c r="Q6" s="78"/>
      <c r="R6" s="78"/>
      <c r="S6" s="78"/>
      <c r="T6" s="78"/>
      <c r="U6" s="78"/>
      <c r="V6" s="78"/>
      <c r="W6" s="78"/>
      <c r="X6" s="79"/>
      <c r="Y6" s="77" t="s">
        <v>22</v>
      </c>
      <c r="Z6" s="78"/>
      <c r="AA6" s="78"/>
      <c r="AB6" s="78"/>
      <c r="AC6" s="78"/>
      <c r="AD6" s="78"/>
      <c r="AE6" s="78"/>
      <c r="AF6" s="78"/>
      <c r="AG6" s="78"/>
      <c r="AH6" s="78"/>
      <c r="AI6" s="79"/>
      <c r="AJ6" s="77" t="s">
        <v>23</v>
      </c>
      <c r="AK6" s="78"/>
      <c r="AL6" s="78"/>
      <c r="AM6" s="78"/>
      <c r="AN6" s="78"/>
      <c r="AO6" s="78"/>
      <c r="AP6" s="78"/>
      <c r="AQ6" s="78"/>
      <c r="AR6" s="78"/>
      <c r="AS6" s="78"/>
      <c r="AT6" s="79"/>
      <c r="AU6" s="77" t="s">
        <v>24</v>
      </c>
      <c r="AV6" s="78"/>
      <c r="AW6" s="78"/>
      <c r="AX6" s="78"/>
      <c r="AY6" s="78"/>
      <c r="AZ6" s="78"/>
      <c r="BA6" s="78"/>
      <c r="BB6" s="78"/>
      <c r="BC6" s="78"/>
      <c r="BD6" s="78"/>
      <c r="BE6" s="79"/>
    </row>
    <row r="7" spans="1:57" s="8" customFormat="1" ht="33.75">
      <c r="A7" s="8" t="s">
        <v>18</v>
      </c>
      <c r="C7" s="90">
        <v>0.2916666666666667</v>
      </c>
      <c r="D7" s="91">
        <v>0.4895833333333333</v>
      </c>
      <c r="E7" s="91">
        <f aca="true" t="shared" si="0" ref="E7:L7">D8</f>
        <v>0.5625</v>
      </c>
      <c r="F7" s="91">
        <f t="shared" si="0"/>
        <v>0.6284722222222222</v>
      </c>
      <c r="G7" s="91">
        <f t="shared" si="0"/>
        <v>0.6701388888888888</v>
      </c>
      <c r="H7" s="91">
        <f t="shared" si="0"/>
        <v>0.7083333333333334</v>
      </c>
      <c r="I7" s="89">
        <f t="shared" si="0"/>
        <v>0.75</v>
      </c>
      <c r="J7" s="89">
        <f t="shared" si="0"/>
        <v>0.75</v>
      </c>
      <c r="K7" s="89">
        <f t="shared" si="0"/>
        <v>0.75</v>
      </c>
      <c r="L7" s="89">
        <f t="shared" si="0"/>
        <v>0.75</v>
      </c>
      <c r="M7" s="75"/>
      <c r="N7" s="90">
        <v>0.2916666666666667</v>
      </c>
      <c r="O7" s="91">
        <v>0.4895833333333333</v>
      </c>
      <c r="P7" s="91">
        <f aca="true" t="shared" si="1" ref="P7:W7">O8</f>
        <v>0.5625</v>
      </c>
      <c r="Q7" s="91">
        <f t="shared" si="1"/>
        <v>0.6284722222222222</v>
      </c>
      <c r="R7" s="91">
        <f t="shared" si="1"/>
        <v>0.6701388888888888</v>
      </c>
      <c r="S7" s="91">
        <f t="shared" si="1"/>
        <v>0.7083333333333334</v>
      </c>
      <c r="T7" s="89">
        <f t="shared" si="1"/>
        <v>0.75</v>
      </c>
      <c r="U7" s="89">
        <f t="shared" si="1"/>
        <v>0.75</v>
      </c>
      <c r="V7" s="89">
        <f t="shared" si="1"/>
        <v>0.75</v>
      </c>
      <c r="W7" s="89">
        <f t="shared" si="1"/>
        <v>0.75</v>
      </c>
      <c r="X7" s="75"/>
      <c r="Y7" s="88">
        <v>0.2916666666666667</v>
      </c>
      <c r="Z7" s="89">
        <v>0.4895833333333333</v>
      </c>
      <c r="AA7" s="89">
        <f aca="true" t="shared" si="2" ref="AA7:AH7">Z8</f>
        <v>0.5625</v>
      </c>
      <c r="AB7" s="89">
        <f t="shared" si="2"/>
        <v>0.6284722222222222</v>
      </c>
      <c r="AC7" s="89">
        <f t="shared" si="2"/>
        <v>0.6701388888888888</v>
      </c>
      <c r="AD7" s="89">
        <f t="shared" si="2"/>
        <v>0.7083333333333334</v>
      </c>
      <c r="AE7" s="89">
        <f t="shared" si="2"/>
        <v>0.75</v>
      </c>
      <c r="AF7" s="89">
        <f t="shared" si="2"/>
        <v>0.75</v>
      </c>
      <c r="AG7" s="89">
        <f t="shared" si="2"/>
        <v>0.75</v>
      </c>
      <c r="AH7" s="89">
        <f t="shared" si="2"/>
        <v>0.75</v>
      </c>
      <c r="AI7" s="75"/>
      <c r="AJ7" s="88">
        <v>0.2916666666666667</v>
      </c>
      <c r="AK7" s="89">
        <v>0.4895833333333333</v>
      </c>
      <c r="AL7" s="89">
        <f aca="true" t="shared" si="3" ref="AL7:AS7">AK8</f>
        <v>0.5625</v>
      </c>
      <c r="AM7" s="89">
        <f t="shared" si="3"/>
        <v>0.6284722222222222</v>
      </c>
      <c r="AN7" s="89">
        <f t="shared" si="3"/>
        <v>0.6701388888888888</v>
      </c>
      <c r="AO7" s="89">
        <f t="shared" si="3"/>
        <v>0.7083333333333334</v>
      </c>
      <c r="AP7" s="89">
        <f t="shared" si="3"/>
        <v>0.75</v>
      </c>
      <c r="AQ7" s="89">
        <f t="shared" si="3"/>
        <v>0.75</v>
      </c>
      <c r="AR7" s="89">
        <f t="shared" si="3"/>
        <v>0.75</v>
      </c>
      <c r="AS7" s="89">
        <f t="shared" si="3"/>
        <v>0.75</v>
      </c>
      <c r="AT7" s="75"/>
      <c r="AU7" s="88">
        <v>0.2916666666666667</v>
      </c>
      <c r="AV7" s="89">
        <v>0.4895833333333333</v>
      </c>
      <c r="AW7" s="89">
        <f aca="true" t="shared" si="4" ref="AW7:BD7">AV8</f>
        <v>0.5625</v>
      </c>
      <c r="AX7" s="89">
        <f t="shared" si="4"/>
        <v>0.6284722222222222</v>
      </c>
      <c r="AY7" s="89">
        <f t="shared" si="4"/>
        <v>0.6701388888888888</v>
      </c>
      <c r="AZ7" s="89">
        <f t="shared" si="4"/>
        <v>0.7083333333333334</v>
      </c>
      <c r="BA7" s="89">
        <f t="shared" si="4"/>
        <v>0.75</v>
      </c>
      <c r="BB7" s="89">
        <f t="shared" si="4"/>
        <v>0.75</v>
      </c>
      <c r="BC7" s="89">
        <f t="shared" si="4"/>
        <v>0.75</v>
      </c>
      <c r="BD7" s="89">
        <f t="shared" si="4"/>
        <v>0.75</v>
      </c>
      <c r="BE7" s="75"/>
    </row>
    <row r="8" spans="1:57" s="8" customFormat="1" ht="33.75">
      <c r="A8" s="8" t="s">
        <v>19</v>
      </c>
      <c r="C8" s="90">
        <v>0.3333333333333333</v>
      </c>
      <c r="D8" s="91">
        <v>0.5625</v>
      </c>
      <c r="E8" s="91">
        <v>0.6284722222222222</v>
      </c>
      <c r="F8" s="91">
        <v>0.6701388888888888</v>
      </c>
      <c r="G8" s="91">
        <v>0.7083333333333334</v>
      </c>
      <c r="H8" s="91">
        <v>0.75</v>
      </c>
      <c r="I8" s="89">
        <v>0.75</v>
      </c>
      <c r="J8" s="89">
        <v>0.75</v>
      </c>
      <c r="K8" s="89">
        <v>0.75</v>
      </c>
      <c r="L8" s="89">
        <v>0.75</v>
      </c>
      <c r="M8" s="75"/>
      <c r="N8" s="90">
        <v>0.3333333333333333</v>
      </c>
      <c r="O8" s="91">
        <v>0.5625</v>
      </c>
      <c r="P8" s="91">
        <v>0.6284722222222222</v>
      </c>
      <c r="Q8" s="91">
        <v>0.6701388888888888</v>
      </c>
      <c r="R8" s="91">
        <v>0.7083333333333334</v>
      </c>
      <c r="S8" s="91">
        <v>0.75</v>
      </c>
      <c r="T8" s="89">
        <v>0.75</v>
      </c>
      <c r="U8" s="89">
        <v>0.75</v>
      </c>
      <c r="V8" s="89">
        <v>0.75</v>
      </c>
      <c r="W8" s="89">
        <v>0.75</v>
      </c>
      <c r="X8" s="75"/>
      <c r="Y8" s="88">
        <v>0.3333333333333333</v>
      </c>
      <c r="Z8" s="89">
        <v>0.5625</v>
      </c>
      <c r="AA8" s="89">
        <v>0.6284722222222222</v>
      </c>
      <c r="AB8" s="89">
        <v>0.6701388888888888</v>
      </c>
      <c r="AC8" s="89">
        <v>0.7083333333333334</v>
      </c>
      <c r="AD8" s="89">
        <v>0.75</v>
      </c>
      <c r="AE8" s="89">
        <v>0.75</v>
      </c>
      <c r="AF8" s="89">
        <v>0.75</v>
      </c>
      <c r="AG8" s="89">
        <v>0.75</v>
      </c>
      <c r="AH8" s="89">
        <v>0.75</v>
      </c>
      <c r="AI8" s="75"/>
      <c r="AJ8" s="88">
        <v>0.3333333333333333</v>
      </c>
      <c r="AK8" s="89">
        <v>0.5625</v>
      </c>
      <c r="AL8" s="89">
        <v>0.6284722222222222</v>
      </c>
      <c r="AM8" s="89">
        <v>0.6701388888888888</v>
      </c>
      <c r="AN8" s="89">
        <v>0.7083333333333334</v>
      </c>
      <c r="AO8" s="89">
        <v>0.75</v>
      </c>
      <c r="AP8" s="89">
        <v>0.75</v>
      </c>
      <c r="AQ8" s="89">
        <v>0.75</v>
      </c>
      <c r="AR8" s="89">
        <v>0.75</v>
      </c>
      <c r="AS8" s="89">
        <v>0.75</v>
      </c>
      <c r="AT8" s="75"/>
      <c r="AU8" s="88">
        <v>0.3333333333333333</v>
      </c>
      <c r="AV8" s="89">
        <v>0.5625</v>
      </c>
      <c r="AW8" s="89">
        <v>0.6284722222222222</v>
      </c>
      <c r="AX8" s="89">
        <v>0.6701388888888888</v>
      </c>
      <c r="AY8" s="89">
        <v>0.7083333333333334</v>
      </c>
      <c r="AZ8" s="89">
        <v>0.75</v>
      </c>
      <c r="BA8" s="89">
        <v>0.75</v>
      </c>
      <c r="BB8" s="89">
        <v>0.75</v>
      </c>
      <c r="BC8" s="89">
        <v>0.75</v>
      </c>
      <c r="BD8" s="89">
        <v>0.75</v>
      </c>
      <c r="BE8" s="75"/>
    </row>
    <row r="9" s="54" customFormat="1" ht="12">
      <c r="A9" s="2"/>
    </row>
    <row r="10" spans="1:56" s="54" customFormat="1" ht="25.5" customHeight="1">
      <c r="A10" s="2" t="s">
        <v>58</v>
      </c>
      <c r="C10" s="118">
        <v>7</v>
      </c>
      <c r="D10" s="118">
        <v>20</v>
      </c>
      <c r="E10" s="118"/>
      <c r="F10" s="118"/>
      <c r="G10" s="118"/>
      <c r="H10" s="118"/>
      <c r="I10" s="118"/>
      <c r="J10" s="118"/>
      <c r="K10" s="118"/>
      <c r="L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</row>
    <row r="11" s="54" customFormat="1" ht="19.5" customHeight="1">
      <c r="A11" s="2"/>
    </row>
    <row r="12" s="54" customFormat="1" ht="19.5" customHeight="1">
      <c r="A12" s="3" t="s">
        <v>59</v>
      </c>
    </row>
    <row r="13" s="54" customFormat="1" ht="12">
      <c r="A13" s="3" t="s">
        <v>153</v>
      </c>
    </row>
    <row r="14" spans="1:56" s="54" customFormat="1" ht="12">
      <c r="A14" s="2" t="s">
        <v>32</v>
      </c>
      <c r="B14" s="119">
        <v>0.4</v>
      </c>
      <c r="C14" s="117">
        <f aca="true" t="shared" si="5" ref="C14:L14">$B14</f>
        <v>0.4</v>
      </c>
      <c r="D14" s="117">
        <f t="shared" si="5"/>
        <v>0.4</v>
      </c>
      <c r="E14" s="117">
        <f t="shared" si="5"/>
        <v>0.4</v>
      </c>
      <c r="F14" s="117">
        <f t="shared" si="5"/>
        <v>0.4</v>
      </c>
      <c r="G14" s="117">
        <f t="shared" si="5"/>
        <v>0.4</v>
      </c>
      <c r="H14" s="117">
        <f t="shared" si="5"/>
        <v>0.4</v>
      </c>
      <c r="I14" s="117">
        <f t="shared" si="5"/>
        <v>0.4</v>
      </c>
      <c r="J14" s="117">
        <f t="shared" si="5"/>
        <v>0.4</v>
      </c>
      <c r="K14" s="117">
        <f t="shared" si="5"/>
        <v>0.4</v>
      </c>
      <c r="L14" s="117">
        <f t="shared" si="5"/>
        <v>0.4</v>
      </c>
      <c r="M14" s="117"/>
      <c r="N14" s="117">
        <f aca="true" t="shared" si="6" ref="N14:W14">$B14</f>
        <v>0.4</v>
      </c>
      <c r="O14" s="117">
        <f t="shared" si="6"/>
        <v>0.4</v>
      </c>
      <c r="P14" s="117">
        <f t="shared" si="6"/>
        <v>0.4</v>
      </c>
      <c r="Q14" s="117">
        <f t="shared" si="6"/>
        <v>0.4</v>
      </c>
      <c r="R14" s="117">
        <f t="shared" si="6"/>
        <v>0.4</v>
      </c>
      <c r="S14" s="117">
        <f t="shared" si="6"/>
        <v>0.4</v>
      </c>
      <c r="T14" s="117">
        <f t="shared" si="6"/>
        <v>0.4</v>
      </c>
      <c r="U14" s="117">
        <f t="shared" si="6"/>
        <v>0.4</v>
      </c>
      <c r="V14" s="117">
        <f t="shared" si="6"/>
        <v>0.4</v>
      </c>
      <c r="W14" s="117">
        <f t="shared" si="6"/>
        <v>0.4</v>
      </c>
      <c r="X14" s="117"/>
      <c r="Y14" s="117">
        <f aca="true" t="shared" si="7" ref="Y14:AH14">$B14</f>
        <v>0.4</v>
      </c>
      <c r="Z14" s="117">
        <f t="shared" si="7"/>
        <v>0.4</v>
      </c>
      <c r="AA14" s="117">
        <f t="shared" si="7"/>
        <v>0.4</v>
      </c>
      <c r="AB14" s="117">
        <f t="shared" si="7"/>
        <v>0.4</v>
      </c>
      <c r="AC14" s="117">
        <f t="shared" si="7"/>
        <v>0.4</v>
      </c>
      <c r="AD14" s="117">
        <f t="shared" si="7"/>
        <v>0.4</v>
      </c>
      <c r="AE14" s="117">
        <f t="shared" si="7"/>
        <v>0.4</v>
      </c>
      <c r="AF14" s="117">
        <f t="shared" si="7"/>
        <v>0.4</v>
      </c>
      <c r="AG14" s="117">
        <f t="shared" si="7"/>
        <v>0.4</v>
      </c>
      <c r="AH14" s="117">
        <f t="shared" si="7"/>
        <v>0.4</v>
      </c>
      <c r="AI14" s="117"/>
      <c r="AJ14" s="117">
        <f aca="true" t="shared" si="8" ref="AJ14:AS14">$B14</f>
        <v>0.4</v>
      </c>
      <c r="AK14" s="117">
        <f t="shared" si="8"/>
        <v>0.4</v>
      </c>
      <c r="AL14" s="117">
        <f t="shared" si="8"/>
        <v>0.4</v>
      </c>
      <c r="AM14" s="117">
        <f t="shared" si="8"/>
        <v>0.4</v>
      </c>
      <c r="AN14" s="117">
        <f t="shared" si="8"/>
        <v>0.4</v>
      </c>
      <c r="AO14" s="117">
        <f t="shared" si="8"/>
        <v>0.4</v>
      </c>
      <c r="AP14" s="117">
        <f t="shared" si="8"/>
        <v>0.4</v>
      </c>
      <c r="AQ14" s="117">
        <f t="shared" si="8"/>
        <v>0.4</v>
      </c>
      <c r="AR14" s="117">
        <f t="shared" si="8"/>
        <v>0.4</v>
      </c>
      <c r="AS14" s="117">
        <f t="shared" si="8"/>
        <v>0.4</v>
      </c>
      <c r="AT14" s="117"/>
      <c r="AU14" s="117">
        <f aca="true" t="shared" si="9" ref="AU14:BD14">$B14</f>
        <v>0.4</v>
      </c>
      <c r="AV14" s="117">
        <f t="shared" si="9"/>
        <v>0.4</v>
      </c>
      <c r="AW14" s="117">
        <f t="shared" si="9"/>
        <v>0.4</v>
      </c>
      <c r="AX14" s="117">
        <f t="shared" si="9"/>
        <v>0.4</v>
      </c>
      <c r="AY14" s="117">
        <f t="shared" si="9"/>
        <v>0.4</v>
      </c>
      <c r="AZ14" s="117">
        <f t="shared" si="9"/>
        <v>0.4</v>
      </c>
      <c r="BA14" s="117">
        <f t="shared" si="9"/>
        <v>0.4</v>
      </c>
      <c r="BB14" s="117">
        <f t="shared" si="9"/>
        <v>0.4</v>
      </c>
      <c r="BC14" s="117">
        <f t="shared" si="9"/>
        <v>0.4</v>
      </c>
      <c r="BD14" s="117">
        <f t="shared" si="9"/>
        <v>0.4</v>
      </c>
    </row>
    <row r="15" spans="1:56" s="54" customFormat="1" ht="12">
      <c r="A15" s="2" t="s">
        <v>33</v>
      </c>
      <c r="C15" s="54">
        <f>ROUNDDOWN(C$10*C14,0)</f>
        <v>2</v>
      </c>
      <c r="D15" s="54">
        <f aca="true" t="shared" si="10" ref="D15:L15">ROUNDDOWN(D$10*D14,0)</f>
        <v>8</v>
      </c>
      <c r="E15" s="54">
        <f t="shared" si="10"/>
        <v>0</v>
      </c>
      <c r="F15" s="54">
        <f t="shared" si="10"/>
        <v>0</v>
      </c>
      <c r="G15" s="54">
        <f t="shared" si="10"/>
        <v>0</v>
      </c>
      <c r="H15" s="54">
        <f t="shared" si="10"/>
        <v>0</v>
      </c>
      <c r="I15" s="54">
        <f t="shared" si="10"/>
        <v>0</v>
      </c>
      <c r="J15" s="54">
        <f t="shared" si="10"/>
        <v>0</v>
      </c>
      <c r="K15" s="54">
        <f t="shared" si="10"/>
        <v>0</v>
      </c>
      <c r="L15" s="54">
        <f t="shared" si="10"/>
        <v>0</v>
      </c>
      <c r="N15" s="54">
        <f aca="true" t="shared" si="11" ref="N15:W15">ROUNDDOWN(N$10*N14,0)</f>
        <v>0</v>
      </c>
      <c r="O15" s="54">
        <f t="shared" si="11"/>
        <v>0</v>
      </c>
      <c r="P15" s="54">
        <f t="shared" si="11"/>
        <v>0</v>
      </c>
      <c r="Q15" s="54">
        <f t="shared" si="11"/>
        <v>0</v>
      </c>
      <c r="R15" s="54">
        <f t="shared" si="11"/>
        <v>0</v>
      </c>
      <c r="S15" s="54">
        <f t="shared" si="11"/>
        <v>0</v>
      </c>
      <c r="T15" s="54">
        <f t="shared" si="11"/>
        <v>0</v>
      </c>
      <c r="U15" s="54">
        <f t="shared" si="11"/>
        <v>0</v>
      </c>
      <c r="V15" s="54">
        <f t="shared" si="11"/>
        <v>0</v>
      </c>
      <c r="W15" s="54">
        <f t="shared" si="11"/>
        <v>0</v>
      </c>
      <c r="Y15" s="54">
        <f aca="true" t="shared" si="12" ref="Y15:AH15">ROUNDDOWN(Y$10*Y14,0)</f>
        <v>0</v>
      </c>
      <c r="Z15" s="54">
        <f t="shared" si="12"/>
        <v>0</v>
      </c>
      <c r="AA15" s="54">
        <f t="shared" si="12"/>
        <v>0</v>
      </c>
      <c r="AB15" s="54">
        <f t="shared" si="12"/>
        <v>0</v>
      </c>
      <c r="AC15" s="54">
        <f t="shared" si="12"/>
        <v>0</v>
      </c>
      <c r="AD15" s="54">
        <f t="shared" si="12"/>
        <v>0</v>
      </c>
      <c r="AE15" s="54">
        <f t="shared" si="12"/>
        <v>0</v>
      </c>
      <c r="AF15" s="54">
        <f t="shared" si="12"/>
        <v>0</v>
      </c>
      <c r="AG15" s="54">
        <f t="shared" si="12"/>
        <v>0</v>
      </c>
      <c r="AH15" s="54">
        <f t="shared" si="12"/>
        <v>0</v>
      </c>
      <c r="AJ15" s="54">
        <f aca="true" t="shared" si="13" ref="AJ15:AS15">ROUNDDOWN(AJ$10*AJ14,0)</f>
        <v>0</v>
      </c>
      <c r="AK15" s="54">
        <f t="shared" si="13"/>
        <v>0</v>
      </c>
      <c r="AL15" s="54">
        <f t="shared" si="13"/>
        <v>0</v>
      </c>
      <c r="AM15" s="54">
        <f t="shared" si="13"/>
        <v>0</v>
      </c>
      <c r="AN15" s="54">
        <f t="shared" si="13"/>
        <v>0</v>
      </c>
      <c r="AO15" s="54">
        <f t="shared" si="13"/>
        <v>0</v>
      </c>
      <c r="AP15" s="54">
        <f t="shared" si="13"/>
        <v>0</v>
      </c>
      <c r="AQ15" s="54">
        <f t="shared" si="13"/>
        <v>0</v>
      </c>
      <c r="AR15" s="54">
        <f t="shared" si="13"/>
        <v>0</v>
      </c>
      <c r="AS15" s="54">
        <f t="shared" si="13"/>
        <v>0</v>
      </c>
      <c r="AU15" s="54">
        <f aca="true" t="shared" si="14" ref="AU15:BD15">ROUNDDOWN(AU$10*AU14,0)</f>
        <v>0</v>
      </c>
      <c r="AV15" s="54">
        <f t="shared" si="14"/>
        <v>0</v>
      </c>
      <c r="AW15" s="54">
        <f t="shared" si="14"/>
        <v>0</v>
      </c>
      <c r="AX15" s="54">
        <f t="shared" si="14"/>
        <v>0</v>
      </c>
      <c r="AY15" s="54">
        <f t="shared" si="14"/>
        <v>0</v>
      </c>
      <c r="AZ15" s="54">
        <f t="shared" si="14"/>
        <v>0</v>
      </c>
      <c r="BA15" s="54">
        <f t="shared" si="14"/>
        <v>0</v>
      </c>
      <c r="BB15" s="54">
        <f t="shared" si="14"/>
        <v>0</v>
      </c>
      <c r="BC15" s="54">
        <f t="shared" si="14"/>
        <v>0</v>
      </c>
      <c r="BD15" s="54">
        <f t="shared" si="14"/>
        <v>0</v>
      </c>
    </row>
    <row r="16" spans="1:56" s="54" customFormat="1" ht="12">
      <c r="A16" s="2" t="s">
        <v>36</v>
      </c>
      <c r="B16" s="119">
        <v>0.7</v>
      </c>
      <c r="C16" s="117">
        <f aca="true" t="shared" si="15" ref="C16:L16">$B16</f>
        <v>0.7</v>
      </c>
      <c r="D16" s="117">
        <f t="shared" si="15"/>
        <v>0.7</v>
      </c>
      <c r="E16" s="117">
        <f t="shared" si="15"/>
        <v>0.7</v>
      </c>
      <c r="F16" s="117">
        <f t="shared" si="15"/>
        <v>0.7</v>
      </c>
      <c r="G16" s="117">
        <f t="shared" si="15"/>
        <v>0.7</v>
      </c>
      <c r="H16" s="117">
        <f t="shared" si="15"/>
        <v>0.7</v>
      </c>
      <c r="I16" s="117">
        <f t="shared" si="15"/>
        <v>0.7</v>
      </c>
      <c r="J16" s="117">
        <f t="shared" si="15"/>
        <v>0.7</v>
      </c>
      <c r="K16" s="117">
        <f t="shared" si="15"/>
        <v>0.7</v>
      </c>
      <c r="L16" s="117">
        <f t="shared" si="15"/>
        <v>0.7</v>
      </c>
      <c r="M16" s="117"/>
      <c r="N16" s="117">
        <f aca="true" t="shared" si="16" ref="N16:W16">$B16</f>
        <v>0.7</v>
      </c>
      <c r="O16" s="117">
        <f t="shared" si="16"/>
        <v>0.7</v>
      </c>
      <c r="P16" s="117">
        <f t="shared" si="16"/>
        <v>0.7</v>
      </c>
      <c r="Q16" s="117">
        <f t="shared" si="16"/>
        <v>0.7</v>
      </c>
      <c r="R16" s="117">
        <f t="shared" si="16"/>
        <v>0.7</v>
      </c>
      <c r="S16" s="117">
        <f t="shared" si="16"/>
        <v>0.7</v>
      </c>
      <c r="T16" s="117">
        <f t="shared" si="16"/>
        <v>0.7</v>
      </c>
      <c r="U16" s="117">
        <f t="shared" si="16"/>
        <v>0.7</v>
      </c>
      <c r="V16" s="117">
        <f t="shared" si="16"/>
        <v>0.7</v>
      </c>
      <c r="W16" s="117">
        <f t="shared" si="16"/>
        <v>0.7</v>
      </c>
      <c r="X16" s="117"/>
      <c r="Y16" s="117">
        <f aca="true" t="shared" si="17" ref="Y16:AH16">$B16</f>
        <v>0.7</v>
      </c>
      <c r="Z16" s="117">
        <f t="shared" si="17"/>
        <v>0.7</v>
      </c>
      <c r="AA16" s="117">
        <f t="shared" si="17"/>
        <v>0.7</v>
      </c>
      <c r="AB16" s="117">
        <f t="shared" si="17"/>
        <v>0.7</v>
      </c>
      <c r="AC16" s="117">
        <f t="shared" si="17"/>
        <v>0.7</v>
      </c>
      <c r="AD16" s="117">
        <f t="shared" si="17"/>
        <v>0.7</v>
      </c>
      <c r="AE16" s="117">
        <f t="shared" si="17"/>
        <v>0.7</v>
      </c>
      <c r="AF16" s="117">
        <f t="shared" si="17"/>
        <v>0.7</v>
      </c>
      <c r="AG16" s="117">
        <f t="shared" si="17"/>
        <v>0.7</v>
      </c>
      <c r="AH16" s="117">
        <f t="shared" si="17"/>
        <v>0.7</v>
      </c>
      <c r="AI16" s="117"/>
      <c r="AJ16" s="117">
        <f aca="true" t="shared" si="18" ref="AJ16:AS16">$B16</f>
        <v>0.7</v>
      </c>
      <c r="AK16" s="117">
        <f t="shared" si="18"/>
        <v>0.7</v>
      </c>
      <c r="AL16" s="117">
        <f t="shared" si="18"/>
        <v>0.7</v>
      </c>
      <c r="AM16" s="117">
        <f t="shared" si="18"/>
        <v>0.7</v>
      </c>
      <c r="AN16" s="117">
        <f t="shared" si="18"/>
        <v>0.7</v>
      </c>
      <c r="AO16" s="117">
        <f t="shared" si="18"/>
        <v>0.7</v>
      </c>
      <c r="AP16" s="117">
        <f t="shared" si="18"/>
        <v>0.7</v>
      </c>
      <c r="AQ16" s="117">
        <f t="shared" si="18"/>
        <v>0.7</v>
      </c>
      <c r="AR16" s="117">
        <f t="shared" si="18"/>
        <v>0.7</v>
      </c>
      <c r="AS16" s="117">
        <f t="shared" si="18"/>
        <v>0.7</v>
      </c>
      <c r="AT16" s="117"/>
      <c r="AU16" s="117">
        <f aca="true" t="shared" si="19" ref="AU16:BD16">$B16</f>
        <v>0.7</v>
      </c>
      <c r="AV16" s="117">
        <f t="shared" si="19"/>
        <v>0.7</v>
      </c>
      <c r="AW16" s="117">
        <f t="shared" si="19"/>
        <v>0.7</v>
      </c>
      <c r="AX16" s="117">
        <f t="shared" si="19"/>
        <v>0.7</v>
      </c>
      <c r="AY16" s="117">
        <f t="shared" si="19"/>
        <v>0.7</v>
      </c>
      <c r="AZ16" s="117">
        <f t="shared" si="19"/>
        <v>0.7</v>
      </c>
      <c r="BA16" s="117">
        <f t="shared" si="19"/>
        <v>0.7</v>
      </c>
      <c r="BB16" s="117">
        <f t="shared" si="19"/>
        <v>0.7</v>
      </c>
      <c r="BC16" s="117">
        <f t="shared" si="19"/>
        <v>0.7</v>
      </c>
      <c r="BD16" s="117">
        <f t="shared" si="19"/>
        <v>0.7</v>
      </c>
    </row>
    <row r="17" spans="1:56" s="54" customFormat="1" ht="12">
      <c r="A17" s="2" t="s">
        <v>34</v>
      </c>
      <c r="C17" s="54">
        <f aca="true" t="shared" si="20" ref="C17:L17">ROUNDDOWN(C$10*C16,0)</f>
        <v>4</v>
      </c>
      <c r="D17" s="54">
        <f t="shared" si="20"/>
        <v>14</v>
      </c>
      <c r="E17" s="54">
        <f t="shared" si="20"/>
        <v>0</v>
      </c>
      <c r="F17" s="54">
        <f t="shared" si="20"/>
        <v>0</v>
      </c>
      <c r="G17" s="54">
        <f t="shared" si="20"/>
        <v>0</v>
      </c>
      <c r="H17" s="54">
        <f t="shared" si="20"/>
        <v>0</v>
      </c>
      <c r="I17" s="54">
        <f t="shared" si="20"/>
        <v>0</v>
      </c>
      <c r="J17" s="54">
        <f t="shared" si="20"/>
        <v>0</v>
      </c>
      <c r="K17" s="54">
        <f t="shared" si="20"/>
        <v>0</v>
      </c>
      <c r="L17" s="54">
        <f t="shared" si="20"/>
        <v>0</v>
      </c>
      <c r="N17" s="54">
        <f aca="true" t="shared" si="21" ref="N17:W17">ROUNDDOWN(N$10*N16,0)</f>
        <v>0</v>
      </c>
      <c r="O17" s="54">
        <f t="shared" si="21"/>
        <v>0</v>
      </c>
      <c r="P17" s="54">
        <f t="shared" si="21"/>
        <v>0</v>
      </c>
      <c r="Q17" s="54">
        <f t="shared" si="21"/>
        <v>0</v>
      </c>
      <c r="R17" s="54">
        <f t="shared" si="21"/>
        <v>0</v>
      </c>
      <c r="S17" s="54">
        <f t="shared" si="21"/>
        <v>0</v>
      </c>
      <c r="T17" s="54">
        <f t="shared" si="21"/>
        <v>0</v>
      </c>
      <c r="U17" s="54">
        <f t="shared" si="21"/>
        <v>0</v>
      </c>
      <c r="V17" s="54">
        <f t="shared" si="21"/>
        <v>0</v>
      </c>
      <c r="W17" s="54">
        <f t="shared" si="21"/>
        <v>0</v>
      </c>
      <c r="Y17" s="54">
        <f aca="true" t="shared" si="22" ref="Y17:AH17">ROUNDDOWN(Y$10*Y16,0)</f>
        <v>0</v>
      </c>
      <c r="Z17" s="54">
        <f t="shared" si="22"/>
        <v>0</v>
      </c>
      <c r="AA17" s="54">
        <f t="shared" si="22"/>
        <v>0</v>
      </c>
      <c r="AB17" s="54">
        <f t="shared" si="22"/>
        <v>0</v>
      </c>
      <c r="AC17" s="54">
        <f t="shared" si="22"/>
        <v>0</v>
      </c>
      <c r="AD17" s="54">
        <f t="shared" si="22"/>
        <v>0</v>
      </c>
      <c r="AE17" s="54">
        <f t="shared" si="22"/>
        <v>0</v>
      </c>
      <c r="AF17" s="54">
        <f t="shared" si="22"/>
        <v>0</v>
      </c>
      <c r="AG17" s="54">
        <f t="shared" si="22"/>
        <v>0</v>
      </c>
      <c r="AH17" s="54">
        <f t="shared" si="22"/>
        <v>0</v>
      </c>
      <c r="AJ17" s="54">
        <f aca="true" t="shared" si="23" ref="AJ17:AS17">ROUNDDOWN(AJ$10*AJ16,0)</f>
        <v>0</v>
      </c>
      <c r="AK17" s="54">
        <f t="shared" si="23"/>
        <v>0</v>
      </c>
      <c r="AL17" s="54">
        <f t="shared" si="23"/>
        <v>0</v>
      </c>
      <c r="AM17" s="54">
        <f t="shared" si="23"/>
        <v>0</v>
      </c>
      <c r="AN17" s="54">
        <f t="shared" si="23"/>
        <v>0</v>
      </c>
      <c r="AO17" s="54">
        <f t="shared" si="23"/>
        <v>0</v>
      </c>
      <c r="AP17" s="54">
        <f t="shared" si="23"/>
        <v>0</v>
      </c>
      <c r="AQ17" s="54">
        <f t="shared" si="23"/>
        <v>0</v>
      </c>
      <c r="AR17" s="54">
        <f t="shared" si="23"/>
        <v>0</v>
      </c>
      <c r="AS17" s="54">
        <f t="shared" si="23"/>
        <v>0</v>
      </c>
      <c r="AU17" s="54">
        <f aca="true" t="shared" si="24" ref="AU17:BD17">ROUNDDOWN(AU$10*AU16,0)</f>
        <v>0</v>
      </c>
      <c r="AV17" s="54">
        <f t="shared" si="24"/>
        <v>0</v>
      </c>
      <c r="AW17" s="54">
        <f t="shared" si="24"/>
        <v>0</v>
      </c>
      <c r="AX17" s="54">
        <f t="shared" si="24"/>
        <v>0</v>
      </c>
      <c r="AY17" s="54">
        <f t="shared" si="24"/>
        <v>0</v>
      </c>
      <c r="AZ17" s="54">
        <f t="shared" si="24"/>
        <v>0</v>
      </c>
      <c r="BA17" s="54">
        <f t="shared" si="24"/>
        <v>0</v>
      </c>
      <c r="BB17" s="54">
        <f t="shared" si="24"/>
        <v>0</v>
      </c>
      <c r="BC17" s="54">
        <f t="shared" si="24"/>
        <v>0</v>
      </c>
      <c r="BD17" s="54">
        <f t="shared" si="24"/>
        <v>0</v>
      </c>
    </row>
    <row r="18" spans="1:56" s="54" customFormat="1" ht="12">
      <c r="A18" s="2" t="s">
        <v>166</v>
      </c>
      <c r="B18" s="119">
        <v>1</v>
      </c>
      <c r="C18" s="117">
        <f>$B18</f>
        <v>1</v>
      </c>
      <c r="D18" s="117">
        <f aca="true" t="shared" si="25" ref="D18:BD18">$B18</f>
        <v>1</v>
      </c>
      <c r="E18" s="117">
        <f t="shared" si="25"/>
        <v>1</v>
      </c>
      <c r="F18" s="117">
        <f t="shared" si="25"/>
        <v>1</v>
      </c>
      <c r="G18" s="117">
        <f t="shared" si="25"/>
        <v>1</v>
      </c>
      <c r="H18" s="117">
        <f t="shared" si="25"/>
        <v>1</v>
      </c>
      <c r="I18" s="117">
        <f t="shared" si="25"/>
        <v>1</v>
      </c>
      <c r="J18" s="117">
        <f t="shared" si="25"/>
        <v>1</v>
      </c>
      <c r="K18" s="117">
        <f t="shared" si="25"/>
        <v>1</v>
      </c>
      <c r="L18" s="117">
        <f t="shared" si="25"/>
        <v>1</v>
      </c>
      <c r="M18" s="117"/>
      <c r="N18" s="117">
        <f t="shared" si="25"/>
        <v>1</v>
      </c>
      <c r="O18" s="117">
        <f t="shared" si="25"/>
        <v>1</v>
      </c>
      <c r="P18" s="117">
        <f t="shared" si="25"/>
        <v>1</v>
      </c>
      <c r="Q18" s="117">
        <f t="shared" si="25"/>
        <v>1</v>
      </c>
      <c r="R18" s="117">
        <f t="shared" si="25"/>
        <v>1</v>
      </c>
      <c r="S18" s="117">
        <f t="shared" si="25"/>
        <v>1</v>
      </c>
      <c r="T18" s="117">
        <f t="shared" si="25"/>
        <v>1</v>
      </c>
      <c r="U18" s="117">
        <f t="shared" si="25"/>
        <v>1</v>
      </c>
      <c r="V18" s="117">
        <f t="shared" si="25"/>
        <v>1</v>
      </c>
      <c r="W18" s="117">
        <f t="shared" si="25"/>
        <v>1</v>
      </c>
      <c r="X18" s="117"/>
      <c r="Y18" s="117">
        <f t="shared" si="25"/>
        <v>1</v>
      </c>
      <c r="Z18" s="117">
        <f t="shared" si="25"/>
        <v>1</v>
      </c>
      <c r="AA18" s="117">
        <f t="shared" si="25"/>
        <v>1</v>
      </c>
      <c r="AB18" s="117">
        <f t="shared" si="25"/>
        <v>1</v>
      </c>
      <c r="AC18" s="117">
        <f t="shared" si="25"/>
        <v>1</v>
      </c>
      <c r="AD18" s="117">
        <f t="shared" si="25"/>
        <v>1</v>
      </c>
      <c r="AE18" s="117">
        <f t="shared" si="25"/>
        <v>1</v>
      </c>
      <c r="AF18" s="117">
        <f t="shared" si="25"/>
        <v>1</v>
      </c>
      <c r="AG18" s="117">
        <f t="shared" si="25"/>
        <v>1</v>
      </c>
      <c r="AH18" s="117">
        <f t="shared" si="25"/>
        <v>1</v>
      </c>
      <c r="AI18" s="117"/>
      <c r="AJ18" s="117">
        <f t="shared" si="25"/>
        <v>1</v>
      </c>
      <c r="AK18" s="117">
        <f t="shared" si="25"/>
        <v>1</v>
      </c>
      <c r="AL18" s="117">
        <f t="shared" si="25"/>
        <v>1</v>
      </c>
      <c r="AM18" s="117">
        <f t="shared" si="25"/>
        <v>1</v>
      </c>
      <c r="AN18" s="117">
        <f t="shared" si="25"/>
        <v>1</v>
      </c>
      <c r="AO18" s="117">
        <f t="shared" si="25"/>
        <v>1</v>
      </c>
      <c r="AP18" s="117">
        <f t="shared" si="25"/>
        <v>1</v>
      </c>
      <c r="AQ18" s="117">
        <f t="shared" si="25"/>
        <v>1</v>
      </c>
      <c r="AR18" s="117">
        <f t="shared" si="25"/>
        <v>1</v>
      </c>
      <c r="AS18" s="117">
        <f t="shared" si="25"/>
        <v>1</v>
      </c>
      <c r="AT18" s="117"/>
      <c r="AU18" s="117">
        <f t="shared" si="25"/>
        <v>1</v>
      </c>
      <c r="AV18" s="117">
        <f t="shared" si="25"/>
        <v>1</v>
      </c>
      <c r="AW18" s="117">
        <f t="shared" si="25"/>
        <v>1</v>
      </c>
      <c r="AX18" s="117">
        <f t="shared" si="25"/>
        <v>1</v>
      </c>
      <c r="AY18" s="117">
        <f t="shared" si="25"/>
        <v>1</v>
      </c>
      <c r="AZ18" s="117">
        <f t="shared" si="25"/>
        <v>1</v>
      </c>
      <c r="BA18" s="117">
        <f t="shared" si="25"/>
        <v>1</v>
      </c>
      <c r="BB18" s="117">
        <f t="shared" si="25"/>
        <v>1</v>
      </c>
      <c r="BC18" s="117">
        <f t="shared" si="25"/>
        <v>1</v>
      </c>
      <c r="BD18" s="117">
        <f t="shared" si="25"/>
        <v>1</v>
      </c>
    </row>
    <row r="19" spans="1:56" s="54" customFormat="1" ht="12">
      <c r="A19" s="2" t="s">
        <v>35</v>
      </c>
      <c r="C19" s="54">
        <f aca="true" t="shared" si="26" ref="C19:L19">ROUNDDOWN(C$10*C18,0)</f>
        <v>7</v>
      </c>
      <c r="D19" s="54">
        <f t="shared" si="26"/>
        <v>20</v>
      </c>
      <c r="E19" s="54">
        <f t="shared" si="26"/>
        <v>0</v>
      </c>
      <c r="F19" s="54">
        <f t="shared" si="26"/>
        <v>0</v>
      </c>
      <c r="G19" s="54">
        <f t="shared" si="26"/>
        <v>0</v>
      </c>
      <c r="H19" s="54">
        <f t="shared" si="26"/>
        <v>0</v>
      </c>
      <c r="I19" s="54">
        <f t="shared" si="26"/>
        <v>0</v>
      </c>
      <c r="J19" s="54">
        <f t="shared" si="26"/>
        <v>0</v>
      </c>
      <c r="K19" s="54">
        <f t="shared" si="26"/>
        <v>0</v>
      </c>
      <c r="L19" s="54">
        <f t="shared" si="26"/>
        <v>0</v>
      </c>
      <c r="N19" s="54">
        <f aca="true" t="shared" si="27" ref="N19:W19">ROUNDDOWN(N$10*N18,0)</f>
        <v>0</v>
      </c>
      <c r="O19" s="54">
        <f t="shared" si="27"/>
        <v>0</v>
      </c>
      <c r="P19" s="54">
        <f t="shared" si="27"/>
        <v>0</v>
      </c>
      <c r="Q19" s="54">
        <f t="shared" si="27"/>
        <v>0</v>
      </c>
      <c r="R19" s="54">
        <f t="shared" si="27"/>
        <v>0</v>
      </c>
      <c r="S19" s="54">
        <f t="shared" si="27"/>
        <v>0</v>
      </c>
      <c r="T19" s="54">
        <f t="shared" si="27"/>
        <v>0</v>
      </c>
      <c r="U19" s="54">
        <f t="shared" si="27"/>
        <v>0</v>
      </c>
      <c r="V19" s="54">
        <f t="shared" si="27"/>
        <v>0</v>
      </c>
      <c r="W19" s="54">
        <f t="shared" si="27"/>
        <v>0</v>
      </c>
      <c r="Y19" s="54">
        <f aca="true" t="shared" si="28" ref="Y19:AH19">ROUNDDOWN(Y$10*Y18,0)</f>
        <v>0</v>
      </c>
      <c r="Z19" s="54">
        <f t="shared" si="28"/>
        <v>0</v>
      </c>
      <c r="AA19" s="54">
        <f t="shared" si="28"/>
        <v>0</v>
      </c>
      <c r="AB19" s="54">
        <f t="shared" si="28"/>
        <v>0</v>
      </c>
      <c r="AC19" s="54">
        <f t="shared" si="28"/>
        <v>0</v>
      </c>
      <c r="AD19" s="54">
        <f t="shared" si="28"/>
        <v>0</v>
      </c>
      <c r="AE19" s="54">
        <f t="shared" si="28"/>
        <v>0</v>
      </c>
      <c r="AF19" s="54">
        <f t="shared" si="28"/>
        <v>0</v>
      </c>
      <c r="AG19" s="54">
        <f t="shared" si="28"/>
        <v>0</v>
      </c>
      <c r="AH19" s="54">
        <f t="shared" si="28"/>
        <v>0</v>
      </c>
      <c r="AJ19" s="54">
        <f aca="true" t="shared" si="29" ref="AJ19:AS19">ROUNDDOWN(AJ$10*AJ18,0)</f>
        <v>0</v>
      </c>
      <c r="AK19" s="54">
        <f t="shared" si="29"/>
        <v>0</v>
      </c>
      <c r="AL19" s="54">
        <f t="shared" si="29"/>
        <v>0</v>
      </c>
      <c r="AM19" s="54">
        <f t="shared" si="29"/>
        <v>0</v>
      </c>
      <c r="AN19" s="54">
        <f t="shared" si="29"/>
        <v>0</v>
      </c>
      <c r="AO19" s="54">
        <f t="shared" si="29"/>
        <v>0</v>
      </c>
      <c r="AP19" s="54">
        <f t="shared" si="29"/>
        <v>0</v>
      </c>
      <c r="AQ19" s="54">
        <f t="shared" si="29"/>
        <v>0</v>
      </c>
      <c r="AR19" s="54">
        <f t="shared" si="29"/>
        <v>0</v>
      </c>
      <c r="AS19" s="54">
        <f t="shared" si="29"/>
        <v>0</v>
      </c>
      <c r="AU19" s="54">
        <f aca="true" t="shared" si="30" ref="AU19:BD19">ROUNDDOWN(AU$10*AU18,0)</f>
        <v>0</v>
      </c>
      <c r="AV19" s="54">
        <f t="shared" si="30"/>
        <v>0</v>
      </c>
      <c r="AW19" s="54">
        <f t="shared" si="30"/>
        <v>0</v>
      </c>
      <c r="AX19" s="54">
        <f t="shared" si="30"/>
        <v>0</v>
      </c>
      <c r="AY19" s="54">
        <f t="shared" si="30"/>
        <v>0</v>
      </c>
      <c r="AZ19" s="54">
        <f t="shared" si="30"/>
        <v>0</v>
      </c>
      <c r="BA19" s="54">
        <f t="shared" si="30"/>
        <v>0</v>
      </c>
      <c r="BB19" s="54">
        <f t="shared" si="30"/>
        <v>0</v>
      </c>
      <c r="BC19" s="54">
        <f t="shared" si="30"/>
        <v>0</v>
      </c>
      <c r="BD19" s="54">
        <f t="shared" si="30"/>
        <v>0</v>
      </c>
    </row>
    <row r="20" s="54" customFormat="1" ht="12">
      <c r="A20" s="2"/>
    </row>
    <row r="21" s="54" customFormat="1" ht="12">
      <c r="A21" s="3" t="s">
        <v>154</v>
      </c>
    </row>
    <row r="22" s="54" customFormat="1" ht="12">
      <c r="A22" s="3"/>
    </row>
    <row r="23" s="54" customFormat="1" ht="10.5">
      <c r="A23" s="54" t="s">
        <v>0</v>
      </c>
    </row>
    <row r="24" s="54" customFormat="1" ht="10.5"/>
    <row r="25" s="54" customFormat="1" ht="10.5">
      <c r="A25" s="54" t="s">
        <v>50</v>
      </c>
    </row>
    <row r="26" s="54" customFormat="1" ht="10.5"/>
    <row r="27" s="54" customFormat="1" ht="10.5">
      <c r="A27" s="54" t="s">
        <v>42</v>
      </c>
    </row>
    <row r="28" s="54" customFormat="1" ht="10.5"/>
    <row r="29" s="54" customFormat="1" ht="10.5"/>
    <row r="30" s="54" customFormat="1" ht="10.5"/>
    <row r="31" s="54" customFormat="1" ht="10.5"/>
    <row r="32" s="54" customFormat="1" ht="10.5"/>
    <row r="33" s="54" customFormat="1" ht="10.5"/>
    <row r="34" s="54" customFormat="1" ht="10.5"/>
    <row r="35" s="54" customFormat="1" ht="10.5"/>
    <row r="36" s="54" customFormat="1" ht="10.5"/>
    <row r="37" s="54" customFormat="1" ht="10.5"/>
    <row r="38" s="54" customFormat="1" ht="10.5"/>
    <row r="39" s="54" customFormat="1" ht="10.5"/>
    <row r="40" s="54" customFormat="1" ht="10.5"/>
    <row r="41" s="54" customFormat="1" ht="10.5"/>
    <row r="42" s="54" customFormat="1" ht="10.5"/>
    <row r="43" s="54" customFormat="1" ht="10.5"/>
    <row r="44" s="54" customFormat="1" ht="10.5"/>
    <row r="45" s="54" customFormat="1" ht="10.5"/>
    <row r="46" s="54" customFormat="1" ht="10.5"/>
    <row r="47" s="54" customFormat="1" ht="10.5"/>
    <row r="48" s="54" customFormat="1" ht="10.5"/>
    <row r="49" s="54" customFormat="1" ht="10.5"/>
    <row r="50" s="54" customFormat="1" ht="10.5"/>
    <row r="51" s="54" customFormat="1" ht="10.5"/>
    <row r="52" s="54" customFormat="1" ht="10.5"/>
    <row r="53" s="54" customFormat="1" ht="10.5"/>
    <row r="54" s="54" customFormat="1" ht="10.5"/>
    <row r="55" s="54" customFormat="1" ht="10.5"/>
    <row r="56" s="54" customFormat="1" ht="10.5"/>
    <row r="57" s="54" customFormat="1" ht="10.5"/>
    <row r="58" s="54" customFormat="1" ht="10.5"/>
    <row r="59" s="54" customFormat="1" ht="10.5"/>
    <row r="60" s="54" customFormat="1" ht="10.5"/>
    <row r="61" s="54" customFormat="1" ht="10.5"/>
    <row r="62" s="54" customFormat="1" ht="10.5"/>
    <row r="63" s="54" customFormat="1" ht="10.5"/>
    <row r="64" s="54" customFormat="1" ht="10.5"/>
    <row r="65" s="54" customFormat="1" ht="10.5"/>
    <row r="66" s="54" customFormat="1" ht="10.5"/>
    <row r="67" s="54" customFormat="1" ht="10.5"/>
    <row r="68" s="54" customFormat="1" ht="10.5"/>
  </sheetData>
  <printOptions/>
  <pageMargins left="0.984251968503937" right="0.5905511811023623" top="0.7874015748031497" bottom="0.5905511811023623" header="0.5118110236220472" footer="0.5118110236220472"/>
  <pageSetup fitToHeight="1" fitToWidth="1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9"/>
  <sheetViews>
    <sheetView zoomScale="98" zoomScaleNormal="98" zoomScaleSheetLayoutView="150" workbookViewId="0" topLeftCell="A1">
      <pane xSplit="1" topLeftCell="B1" activePane="topRight" state="frozen"/>
      <selection pane="topLeft" activeCell="A50" sqref="A1:G50"/>
      <selection pane="topRight" activeCell="A9" sqref="A9"/>
    </sheetView>
  </sheetViews>
  <sheetFormatPr defaultColWidth="11.00390625" defaultRowHeight="12"/>
  <cols>
    <col min="1" max="1" width="28.375" style="12" customWidth="1"/>
    <col min="2" max="2" width="5.50390625" style="12" customWidth="1"/>
    <col min="3" max="3" width="5.50390625" style="2" customWidth="1"/>
    <col min="4" max="12" width="5.625" style="2" bestFit="1" customWidth="1"/>
    <col min="13" max="13" width="4.875" style="0" customWidth="1"/>
    <col min="14" max="14" width="5.50390625" style="54" customWidth="1"/>
    <col min="15" max="23" width="5.625" style="54" bestFit="1" customWidth="1"/>
    <col min="24" max="24" width="4.875" style="0" customWidth="1"/>
    <col min="25" max="25" width="5.50390625" style="54" customWidth="1"/>
    <col min="26" max="27" width="5.625" style="54" bestFit="1" customWidth="1"/>
    <col min="28" max="34" width="5.625" style="2" bestFit="1" customWidth="1"/>
    <col min="35" max="35" width="4.875" style="0" customWidth="1"/>
    <col min="36" max="36" width="5.50390625" style="2" customWidth="1"/>
    <col min="37" max="45" width="5.625" style="2" bestFit="1" customWidth="1"/>
    <col min="46" max="46" width="4.875" style="0" customWidth="1"/>
    <col min="47" max="47" width="5.50390625" style="2" customWidth="1"/>
    <col min="48" max="56" width="5.625" style="2" bestFit="1" customWidth="1"/>
    <col min="57" max="57" width="4.875" style="0" customWidth="1"/>
    <col min="59" max="16384" width="10.875" style="2" customWidth="1"/>
  </cols>
  <sheetData>
    <row r="1" ht="33">
      <c r="A1" s="42" t="str">
        <f>Basiswerte!A1</f>
        <v>Budgettool zur Berechnung der Betriebskosten eines Tagesschulangebotes</v>
      </c>
    </row>
    <row r="2" ht="15" customHeight="1">
      <c r="A2" s="12" t="str">
        <f>Basiswerte!A2</f>
        <v>Variante selber kochen</v>
      </c>
    </row>
    <row r="3" spans="1:2" ht="15">
      <c r="A3" s="57"/>
      <c r="B3" s="57"/>
    </row>
    <row r="4" spans="1:58" s="1" customFormat="1" ht="15">
      <c r="A4" s="57" t="s">
        <v>158</v>
      </c>
      <c r="B4" s="57"/>
      <c r="M4"/>
      <c r="N4" s="54"/>
      <c r="O4" s="54"/>
      <c r="P4" s="54"/>
      <c r="Q4" s="54"/>
      <c r="R4" s="54"/>
      <c r="S4" s="54"/>
      <c r="T4" s="54"/>
      <c r="U4" s="54"/>
      <c r="V4" s="54"/>
      <c r="W4" s="54"/>
      <c r="X4"/>
      <c r="Y4" s="54"/>
      <c r="Z4" s="54"/>
      <c r="AA4" s="54"/>
      <c r="AI4"/>
      <c r="AT4"/>
      <c r="BE4"/>
      <c r="BF4"/>
    </row>
    <row r="6" spans="1:56" ht="12.75">
      <c r="A6" s="12" t="s">
        <v>179</v>
      </c>
      <c r="C6" s="77" t="s">
        <v>188</v>
      </c>
      <c r="D6" s="78"/>
      <c r="E6" s="78"/>
      <c r="F6" s="78"/>
      <c r="G6" s="78"/>
      <c r="H6" s="78"/>
      <c r="I6" s="78"/>
      <c r="J6" s="78"/>
      <c r="K6" s="78"/>
      <c r="L6" s="78"/>
      <c r="N6" s="77" t="s">
        <v>21</v>
      </c>
      <c r="O6" s="78"/>
      <c r="P6" s="78"/>
      <c r="Q6" s="78"/>
      <c r="R6" s="78"/>
      <c r="S6" s="78"/>
      <c r="T6" s="78"/>
      <c r="U6" s="78"/>
      <c r="V6" s="78"/>
      <c r="W6" s="78"/>
      <c r="Y6" s="77" t="s">
        <v>22</v>
      </c>
      <c r="Z6" s="78"/>
      <c r="AA6" s="78"/>
      <c r="AB6" s="78"/>
      <c r="AC6" s="78"/>
      <c r="AD6" s="78"/>
      <c r="AE6" s="78"/>
      <c r="AF6" s="78"/>
      <c r="AG6" s="78"/>
      <c r="AH6" s="78"/>
      <c r="AJ6" s="77" t="s">
        <v>23</v>
      </c>
      <c r="AK6" s="78"/>
      <c r="AL6" s="78"/>
      <c r="AM6" s="78"/>
      <c r="AN6" s="78"/>
      <c r="AO6" s="78"/>
      <c r="AP6" s="78"/>
      <c r="AQ6" s="78"/>
      <c r="AR6" s="78"/>
      <c r="AS6" s="78"/>
      <c r="AU6" s="77" t="s">
        <v>24</v>
      </c>
      <c r="AV6" s="78"/>
      <c r="AW6" s="78"/>
      <c r="AX6" s="78"/>
      <c r="AY6" s="78"/>
      <c r="AZ6" s="78"/>
      <c r="BA6" s="78"/>
      <c r="BB6" s="78"/>
      <c r="BC6" s="78"/>
      <c r="BD6" s="78"/>
    </row>
    <row r="7" spans="1:58" s="8" customFormat="1" ht="33.75">
      <c r="A7" s="8" t="s">
        <v>18</v>
      </c>
      <c r="C7" s="170">
        <v>0.2916666666666667</v>
      </c>
      <c r="D7" s="171">
        <v>0.4895833333333333</v>
      </c>
      <c r="E7" s="171">
        <f aca="true" t="shared" si="0" ref="E7:L7">D8</f>
        <v>0.5625</v>
      </c>
      <c r="F7" s="171">
        <f t="shared" si="0"/>
        <v>0.6284722222222222</v>
      </c>
      <c r="G7" s="171">
        <f t="shared" si="0"/>
        <v>0.6701388888888888</v>
      </c>
      <c r="H7" s="171">
        <f t="shared" si="0"/>
        <v>0.7083333333333334</v>
      </c>
      <c r="I7" s="173">
        <f t="shared" si="0"/>
        <v>0.75</v>
      </c>
      <c r="J7" s="173">
        <f t="shared" si="0"/>
        <v>0.75</v>
      </c>
      <c r="K7" s="173">
        <f t="shared" si="0"/>
        <v>0.75</v>
      </c>
      <c r="L7" s="173">
        <f t="shared" si="0"/>
        <v>0.75</v>
      </c>
      <c r="M7"/>
      <c r="N7" s="170">
        <v>0.2916666666666667</v>
      </c>
      <c r="O7" s="171">
        <v>0.4895833333333333</v>
      </c>
      <c r="P7" s="171">
        <f aca="true" t="shared" si="1" ref="P7:W7">O8</f>
        <v>0.5625</v>
      </c>
      <c r="Q7" s="171">
        <f t="shared" si="1"/>
        <v>0.6284722222222222</v>
      </c>
      <c r="R7" s="171">
        <f t="shared" si="1"/>
        <v>0.6701388888888888</v>
      </c>
      <c r="S7" s="171">
        <f t="shared" si="1"/>
        <v>0.7083333333333334</v>
      </c>
      <c r="T7" s="173">
        <f t="shared" si="1"/>
        <v>0.75</v>
      </c>
      <c r="U7" s="173">
        <f t="shared" si="1"/>
        <v>0.75</v>
      </c>
      <c r="V7" s="173">
        <f t="shared" si="1"/>
        <v>0.75</v>
      </c>
      <c r="W7" s="173">
        <f t="shared" si="1"/>
        <v>0.75</v>
      </c>
      <c r="X7"/>
      <c r="Y7" s="172">
        <v>0.2916666666666667</v>
      </c>
      <c r="Z7" s="173">
        <v>0.4895833333333333</v>
      </c>
      <c r="AA7" s="173">
        <f aca="true" t="shared" si="2" ref="AA7:AH7">Z8</f>
        <v>0.5625</v>
      </c>
      <c r="AB7" s="173">
        <f t="shared" si="2"/>
        <v>0.6284722222222222</v>
      </c>
      <c r="AC7" s="173">
        <f t="shared" si="2"/>
        <v>0.6701388888888888</v>
      </c>
      <c r="AD7" s="173">
        <f t="shared" si="2"/>
        <v>0.7083333333333334</v>
      </c>
      <c r="AE7" s="173">
        <f t="shared" si="2"/>
        <v>0.75</v>
      </c>
      <c r="AF7" s="173">
        <f t="shared" si="2"/>
        <v>0.75</v>
      </c>
      <c r="AG7" s="173">
        <f t="shared" si="2"/>
        <v>0.75</v>
      </c>
      <c r="AH7" s="173">
        <f t="shared" si="2"/>
        <v>0.75</v>
      </c>
      <c r="AI7"/>
      <c r="AJ7" s="172">
        <v>0.2916666666666667</v>
      </c>
      <c r="AK7" s="173">
        <v>0.4895833333333333</v>
      </c>
      <c r="AL7" s="173">
        <f aca="true" t="shared" si="3" ref="AL7:AS7">AK8</f>
        <v>0.5625</v>
      </c>
      <c r="AM7" s="173">
        <f t="shared" si="3"/>
        <v>0.6284722222222222</v>
      </c>
      <c r="AN7" s="173">
        <f t="shared" si="3"/>
        <v>0.6701388888888888</v>
      </c>
      <c r="AO7" s="173">
        <f t="shared" si="3"/>
        <v>0.7083333333333334</v>
      </c>
      <c r="AP7" s="173">
        <f t="shared" si="3"/>
        <v>0.75</v>
      </c>
      <c r="AQ7" s="173">
        <f t="shared" si="3"/>
        <v>0.75</v>
      </c>
      <c r="AR7" s="173">
        <f t="shared" si="3"/>
        <v>0.75</v>
      </c>
      <c r="AS7" s="173">
        <f t="shared" si="3"/>
        <v>0.75</v>
      </c>
      <c r="AT7"/>
      <c r="AU7" s="172">
        <v>0.2916666666666667</v>
      </c>
      <c r="AV7" s="173">
        <v>0.4895833333333333</v>
      </c>
      <c r="AW7" s="173">
        <f aca="true" t="shared" si="4" ref="AW7:BD7">AV8</f>
        <v>0.5625</v>
      </c>
      <c r="AX7" s="173">
        <f t="shared" si="4"/>
        <v>0.6284722222222222</v>
      </c>
      <c r="AY7" s="173">
        <f t="shared" si="4"/>
        <v>0.6701388888888888</v>
      </c>
      <c r="AZ7" s="173">
        <f t="shared" si="4"/>
        <v>0.7083333333333334</v>
      </c>
      <c r="BA7" s="173">
        <f t="shared" si="4"/>
        <v>0.75</v>
      </c>
      <c r="BB7" s="173">
        <f t="shared" si="4"/>
        <v>0.75</v>
      </c>
      <c r="BC7" s="173">
        <f t="shared" si="4"/>
        <v>0.75</v>
      </c>
      <c r="BD7" s="173">
        <f t="shared" si="4"/>
        <v>0.75</v>
      </c>
      <c r="BE7"/>
      <c r="BF7"/>
    </row>
    <row r="8" spans="1:58" s="8" customFormat="1" ht="33.75">
      <c r="A8" s="8" t="s">
        <v>19</v>
      </c>
      <c r="C8" s="170">
        <v>0.3333333333333333</v>
      </c>
      <c r="D8" s="171">
        <v>0.5625</v>
      </c>
      <c r="E8" s="171">
        <v>0.6284722222222222</v>
      </c>
      <c r="F8" s="171">
        <v>0.6701388888888888</v>
      </c>
      <c r="G8" s="171">
        <v>0.7083333333333334</v>
      </c>
      <c r="H8" s="171">
        <v>0.75</v>
      </c>
      <c r="I8" s="173">
        <v>0.75</v>
      </c>
      <c r="J8" s="173">
        <v>0.75</v>
      </c>
      <c r="K8" s="173">
        <v>0.75</v>
      </c>
      <c r="L8" s="173">
        <v>0.75</v>
      </c>
      <c r="M8"/>
      <c r="N8" s="170">
        <v>0.3333333333333333</v>
      </c>
      <c r="O8" s="171">
        <v>0.5625</v>
      </c>
      <c r="P8" s="171">
        <v>0.6284722222222222</v>
      </c>
      <c r="Q8" s="171">
        <v>0.6701388888888888</v>
      </c>
      <c r="R8" s="171">
        <v>0.7083333333333334</v>
      </c>
      <c r="S8" s="171">
        <v>0.75</v>
      </c>
      <c r="T8" s="173">
        <v>0.75</v>
      </c>
      <c r="U8" s="173">
        <v>0.75</v>
      </c>
      <c r="V8" s="173">
        <v>0.75</v>
      </c>
      <c r="W8" s="173">
        <v>0.75</v>
      </c>
      <c r="X8"/>
      <c r="Y8" s="172">
        <v>0.3333333333333333</v>
      </c>
      <c r="Z8" s="173">
        <v>0.5625</v>
      </c>
      <c r="AA8" s="173">
        <v>0.6284722222222222</v>
      </c>
      <c r="AB8" s="173">
        <v>0.6701388888888888</v>
      </c>
      <c r="AC8" s="173">
        <v>0.7083333333333334</v>
      </c>
      <c r="AD8" s="173">
        <v>0.75</v>
      </c>
      <c r="AE8" s="173">
        <v>0.75</v>
      </c>
      <c r="AF8" s="173">
        <v>0.75</v>
      </c>
      <c r="AG8" s="173">
        <v>0.75</v>
      </c>
      <c r="AH8" s="173">
        <v>0.75</v>
      </c>
      <c r="AI8"/>
      <c r="AJ8" s="172">
        <v>0.3333333333333333</v>
      </c>
      <c r="AK8" s="173">
        <v>0.5625</v>
      </c>
      <c r="AL8" s="173">
        <v>0.6284722222222222</v>
      </c>
      <c r="AM8" s="173">
        <v>0.6701388888888888</v>
      </c>
      <c r="AN8" s="173">
        <v>0.7083333333333334</v>
      </c>
      <c r="AO8" s="173">
        <v>0.75</v>
      </c>
      <c r="AP8" s="173">
        <v>0.75</v>
      </c>
      <c r="AQ8" s="173">
        <v>0.75</v>
      </c>
      <c r="AR8" s="173">
        <v>0.75</v>
      </c>
      <c r="AS8" s="173">
        <v>0.75</v>
      </c>
      <c r="AT8"/>
      <c r="AU8" s="172">
        <v>0.3333333333333333</v>
      </c>
      <c r="AV8" s="173">
        <v>0.5625</v>
      </c>
      <c r="AW8" s="173">
        <v>0.6284722222222222</v>
      </c>
      <c r="AX8" s="173">
        <v>0.6701388888888888</v>
      </c>
      <c r="AY8" s="173">
        <v>0.7083333333333334</v>
      </c>
      <c r="AZ8" s="173">
        <v>0.75</v>
      </c>
      <c r="BA8" s="173">
        <v>0.75</v>
      </c>
      <c r="BB8" s="173">
        <v>0.75</v>
      </c>
      <c r="BC8" s="173">
        <v>0.75</v>
      </c>
      <c r="BD8" s="173">
        <v>0.75</v>
      </c>
      <c r="BE8"/>
      <c r="BF8"/>
    </row>
    <row r="9" spans="1:58" s="54" customFormat="1" ht="24.75" customHeight="1">
      <c r="A9" s="2" t="s">
        <v>192</v>
      </c>
      <c r="C9" s="306">
        <v>12</v>
      </c>
      <c r="D9" s="307">
        <v>32</v>
      </c>
      <c r="E9" s="307">
        <v>9</v>
      </c>
      <c r="F9" s="307">
        <v>36</v>
      </c>
      <c r="G9" s="307">
        <v>36</v>
      </c>
      <c r="H9" s="307">
        <v>24</v>
      </c>
      <c r="I9" s="307"/>
      <c r="J9" s="307"/>
      <c r="K9" s="307"/>
      <c r="L9" s="307"/>
      <c r="M9" s="308"/>
      <c r="N9" s="306">
        <v>16</v>
      </c>
      <c r="O9" s="307">
        <v>40</v>
      </c>
      <c r="P9" s="307">
        <v>14</v>
      </c>
      <c r="Q9" s="307">
        <v>36</v>
      </c>
      <c r="R9" s="307">
        <v>36</v>
      </c>
      <c r="S9" s="307">
        <v>21</v>
      </c>
      <c r="T9" s="307"/>
      <c r="U9" s="307"/>
      <c r="V9" s="307"/>
      <c r="W9" s="307"/>
      <c r="X9" s="308"/>
      <c r="Y9" s="306">
        <v>10</v>
      </c>
      <c r="Z9" s="307">
        <v>13</v>
      </c>
      <c r="AA9" s="307">
        <v>4</v>
      </c>
      <c r="AB9" s="307">
        <v>13</v>
      </c>
      <c r="AC9" s="307">
        <v>13</v>
      </c>
      <c r="AD9" s="307">
        <v>9</v>
      </c>
      <c r="AE9" s="307"/>
      <c r="AF9" s="307"/>
      <c r="AG9" s="307"/>
      <c r="AH9" s="307"/>
      <c r="AI9" s="308"/>
      <c r="AJ9" s="306">
        <v>8</v>
      </c>
      <c r="AK9" s="307">
        <v>29</v>
      </c>
      <c r="AL9" s="307">
        <v>7</v>
      </c>
      <c r="AM9" s="307">
        <v>25</v>
      </c>
      <c r="AN9" s="307">
        <v>25</v>
      </c>
      <c r="AO9" s="307">
        <v>17</v>
      </c>
      <c r="AP9" s="307"/>
      <c r="AQ9" s="307"/>
      <c r="AR9" s="307"/>
      <c r="AS9" s="307"/>
      <c r="AT9" s="308"/>
      <c r="AU9" s="306">
        <v>5</v>
      </c>
      <c r="AV9" s="307">
        <v>18</v>
      </c>
      <c r="AW9" s="307">
        <v>4</v>
      </c>
      <c r="AX9" s="307">
        <v>14</v>
      </c>
      <c r="AY9" s="307">
        <v>14</v>
      </c>
      <c r="AZ9" s="307">
        <v>8</v>
      </c>
      <c r="BA9" s="171"/>
      <c r="BB9" s="171"/>
      <c r="BC9" s="171"/>
      <c r="BD9" s="171"/>
      <c r="BE9"/>
      <c r="BF9"/>
    </row>
    <row r="10" spans="1:58" s="54" customFormat="1" ht="12.75">
      <c r="A10" s="2"/>
      <c r="M10"/>
      <c r="X10"/>
      <c r="AI10"/>
      <c r="AT10"/>
      <c r="BE10"/>
      <c r="BF10"/>
    </row>
    <row r="11" spans="1:58" s="54" customFormat="1" ht="12.75">
      <c r="A11" s="3" t="s">
        <v>70</v>
      </c>
      <c r="M11"/>
      <c r="X11"/>
      <c r="AI11"/>
      <c r="AT11"/>
      <c r="BE11"/>
      <c r="BF11"/>
    </row>
    <row r="12" spans="1:58" s="54" customFormat="1" ht="12.75">
      <c r="A12" s="2" t="s">
        <v>32</v>
      </c>
      <c r="B12" s="174">
        <v>0.4</v>
      </c>
      <c r="C12" s="119">
        <f>$B12</f>
        <v>0.4</v>
      </c>
      <c r="D12" s="119">
        <f aca="true" t="shared" si="5" ref="D12:BA16">$B12</f>
        <v>0.4</v>
      </c>
      <c r="E12" s="119">
        <f t="shared" si="5"/>
        <v>0.4</v>
      </c>
      <c r="F12" s="119">
        <f t="shared" si="5"/>
        <v>0.4</v>
      </c>
      <c r="G12" s="119">
        <f t="shared" si="5"/>
        <v>0.4</v>
      </c>
      <c r="H12" s="119">
        <f t="shared" si="5"/>
        <v>0.4</v>
      </c>
      <c r="I12" s="119">
        <f t="shared" si="5"/>
        <v>0.4</v>
      </c>
      <c r="J12" s="119">
        <f t="shared" si="5"/>
        <v>0.4</v>
      </c>
      <c r="K12" s="119">
        <f t="shared" si="5"/>
        <v>0.4</v>
      </c>
      <c r="L12" s="119">
        <f t="shared" si="5"/>
        <v>0.4</v>
      </c>
      <c r="M12"/>
      <c r="N12" s="119">
        <f t="shared" si="5"/>
        <v>0.4</v>
      </c>
      <c r="O12" s="119">
        <f t="shared" si="5"/>
        <v>0.4</v>
      </c>
      <c r="P12" s="119">
        <f t="shared" si="5"/>
        <v>0.4</v>
      </c>
      <c r="Q12" s="119">
        <f t="shared" si="5"/>
        <v>0.4</v>
      </c>
      <c r="R12" s="119">
        <f t="shared" si="5"/>
        <v>0.4</v>
      </c>
      <c r="S12" s="119">
        <f t="shared" si="5"/>
        <v>0.4</v>
      </c>
      <c r="T12" s="119">
        <f t="shared" si="5"/>
        <v>0.4</v>
      </c>
      <c r="U12" s="119">
        <f t="shared" si="5"/>
        <v>0.4</v>
      </c>
      <c r="V12" s="119">
        <f t="shared" si="5"/>
        <v>0.4</v>
      </c>
      <c r="W12" s="119">
        <f t="shared" si="5"/>
        <v>0.4</v>
      </c>
      <c r="X12"/>
      <c r="Y12" s="119">
        <f t="shared" si="5"/>
        <v>0.4</v>
      </c>
      <c r="Z12" s="119">
        <f t="shared" si="5"/>
        <v>0.4</v>
      </c>
      <c r="AA12" s="119">
        <f t="shared" si="5"/>
        <v>0.4</v>
      </c>
      <c r="AB12" s="119">
        <f t="shared" si="5"/>
        <v>0.4</v>
      </c>
      <c r="AC12" s="119">
        <f t="shared" si="5"/>
        <v>0.4</v>
      </c>
      <c r="AD12" s="119">
        <f t="shared" si="5"/>
        <v>0.4</v>
      </c>
      <c r="AE12" s="119">
        <f t="shared" si="5"/>
        <v>0.4</v>
      </c>
      <c r="AF12" s="119">
        <f t="shared" si="5"/>
        <v>0.4</v>
      </c>
      <c r="AG12" s="119">
        <f t="shared" si="5"/>
        <v>0.4</v>
      </c>
      <c r="AH12" s="119">
        <f t="shared" si="5"/>
        <v>0.4</v>
      </c>
      <c r="AI12"/>
      <c r="AJ12" s="119">
        <f t="shared" si="5"/>
        <v>0.4</v>
      </c>
      <c r="AK12" s="119">
        <f t="shared" si="5"/>
        <v>0.4</v>
      </c>
      <c r="AL12" s="119">
        <f t="shared" si="5"/>
        <v>0.4</v>
      </c>
      <c r="AM12" s="119">
        <f t="shared" si="5"/>
        <v>0.4</v>
      </c>
      <c r="AN12" s="119">
        <f t="shared" si="5"/>
        <v>0.4</v>
      </c>
      <c r="AO12" s="119">
        <f t="shared" si="5"/>
        <v>0.4</v>
      </c>
      <c r="AP12" s="119">
        <f t="shared" si="5"/>
        <v>0.4</v>
      </c>
      <c r="AQ12" s="119">
        <f t="shared" si="5"/>
        <v>0.4</v>
      </c>
      <c r="AR12" s="119">
        <f t="shared" si="5"/>
        <v>0.4</v>
      </c>
      <c r="AS12" s="119">
        <f t="shared" si="5"/>
        <v>0.4</v>
      </c>
      <c r="AT12"/>
      <c r="AU12" s="119">
        <f t="shared" si="5"/>
        <v>0.4</v>
      </c>
      <c r="AV12" s="119">
        <f t="shared" si="5"/>
        <v>0.4</v>
      </c>
      <c r="AW12" s="119">
        <f t="shared" si="5"/>
        <v>0.4</v>
      </c>
      <c r="AX12" s="119">
        <f t="shared" si="5"/>
        <v>0.4</v>
      </c>
      <c r="AY12" s="119">
        <f t="shared" si="5"/>
        <v>0.4</v>
      </c>
      <c r="AZ12" s="119">
        <f t="shared" si="5"/>
        <v>0.4</v>
      </c>
      <c r="BA12" s="119">
        <f t="shared" si="5"/>
        <v>0.4</v>
      </c>
      <c r="BB12" s="119">
        <f>$B12</f>
        <v>0.4</v>
      </c>
      <c r="BC12" s="119">
        <f>$B12</f>
        <v>0.4</v>
      </c>
      <c r="BD12" s="119">
        <f>$B12</f>
        <v>0.4</v>
      </c>
      <c r="BE12"/>
      <c r="BF12"/>
    </row>
    <row r="13" spans="1:58" s="54" customFormat="1" ht="12.75">
      <c r="A13" s="2" t="s">
        <v>33</v>
      </c>
      <c r="C13" s="118">
        <f>ROUNDDOWN(C$9*C12,0)</f>
        <v>4</v>
      </c>
      <c r="D13" s="118">
        <f aca="true" t="shared" si="6" ref="D13:BD13">ROUNDDOWN(D$9*D12,0)</f>
        <v>12</v>
      </c>
      <c r="E13" s="118">
        <f t="shared" si="6"/>
        <v>3</v>
      </c>
      <c r="F13" s="118">
        <f t="shared" si="6"/>
        <v>14</v>
      </c>
      <c r="G13" s="118">
        <f t="shared" si="6"/>
        <v>14</v>
      </c>
      <c r="H13" s="118">
        <f t="shared" si="6"/>
        <v>9</v>
      </c>
      <c r="I13" s="118">
        <f t="shared" si="6"/>
        <v>0</v>
      </c>
      <c r="J13" s="118">
        <f t="shared" si="6"/>
        <v>0</v>
      </c>
      <c r="K13" s="118">
        <f t="shared" si="6"/>
        <v>0</v>
      </c>
      <c r="L13" s="118">
        <f t="shared" si="6"/>
        <v>0</v>
      </c>
      <c r="M13"/>
      <c r="N13" s="118">
        <f t="shared" si="6"/>
        <v>6</v>
      </c>
      <c r="O13" s="118">
        <f t="shared" si="6"/>
        <v>16</v>
      </c>
      <c r="P13" s="118">
        <f t="shared" si="6"/>
        <v>5</v>
      </c>
      <c r="Q13" s="118">
        <f t="shared" si="6"/>
        <v>14</v>
      </c>
      <c r="R13" s="118">
        <f t="shared" si="6"/>
        <v>14</v>
      </c>
      <c r="S13" s="118">
        <f t="shared" si="6"/>
        <v>8</v>
      </c>
      <c r="T13" s="118">
        <f t="shared" si="6"/>
        <v>0</v>
      </c>
      <c r="U13" s="118">
        <f t="shared" si="6"/>
        <v>0</v>
      </c>
      <c r="V13" s="118">
        <f t="shared" si="6"/>
        <v>0</v>
      </c>
      <c r="W13" s="118">
        <f t="shared" si="6"/>
        <v>0</v>
      </c>
      <c r="X13"/>
      <c r="Y13" s="118">
        <f t="shared" si="6"/>
        <v>4</v>
      </c>
      <c r="Z13" s="118">
        <f t="shared" si="6"/>
        <v>5</v>
      </c>
      <c r="AA13" s="118">
        <f t="shared" si="6"/>
        <v>1</v>
      </c>
      <c r="AB13" s="118">
        <f t="shared" si="6"/>
        <v>5</v>
      </c>
      <c r="AC13" s="118">
        <f t="shared" si="6"/>
        <v>5</v>
      </c>
      <c r="AD13" s="118">
        <f t="shared" si="6"/>
        <v>3</v>
      </c>
      <c r="AE13" s="118">
        <f t="shared" si="6"/>
        <v>0</v>
      </c>
      <c r="AF13" s="118">
        <f t="shared" si="6"/>
        <v>0</v>
      </c>
      <c r="AG13" s="118">
        <f t="shared" si="6"/>
        <v>0</v>
      </c>
      <c r="AH13" s="118">
        <f t="shared" si="6"/>
        <v>0</v>
      </c>
      <c r="AI13"/>
      <c r="AJ13" s="118">
        <f t="shared" si="6"/>
        <v>3</v>
      </c>
      <c r="AK13" s="118">
        <f t="shared" si="6"/>
        <v>11</v>
      </c>
      <c r="AL13" s="118">
        <f t="shared" si="6"/>
        <v>2</v>
      </c>
      <c r="AM13" s="118">
        <f t="shared" si="6"/>
        <v>10</v>
      </c>
      <c r="AN13" s="118">
        <f t="shared" si="6"/>
        <v>10</v>
      </c>
      <c r="AO13" s="118">
        <f t="shared" si="6"/>
        <v>6</v>
      </c>
      <c r="AP13" s="118">
        <f t="shared" si="6"/>
        <v>0</v>
      </c>
      <c r="AQ13" s="118">
        <f t="shared" si="6"/>
        <v>0</v>
      </c>
      <c r="AR13" s="118">
        <f t="shared" si="6"/>
        <v>0</v>
      </c>
      <c r="AS13" s="118">
        <f t="shared" si="6"/>
        <v>0</v>
      </c>
      <c r="AT13"/>
      <c r="AU13" s="118">
        <f t="shared" si="6"/>
        <v>2</v>
      </c>
      <c r="AV13" s="118">
        <f t="shared" si="6"/>
        <v>7</v>
      </c>
      <c r="AW13" s="118">
        <f t="shared" si="6"/>
        <v>1</v>
      </c>
      <c r="AX13" s="118">
        <f t="shared" si="6"/>
        <v>5</v>
      </c>
      <c r="AY13" s="118">
        <f t="shared" si="6"/>
        <v>5</v>
      </c>
      <c r="AZ13" s="118">
        <f t="shared" si="6"/>
        <v>3</v>
      </c>
      <c r="BA13" s="118">
        <f t="shared" si="6"/>
        <v>0</v>
      </c>
      <c r="BB13" s="118">
        <f t="shared" si="6"/>
        <v>0</v>
      </c>
      <c r="BC13" s="118">
        <f t="shared" si="6"/>
        <v>0</v>
      </c>
      <c r="BD13" s="118">
        <f t="shared" si="6"/>
        <v>0</v>
      </c>
      <c r="BE13"/>
      <c r="BF13"/>
    </row>
    <row r="14" spans="1:58" s="54" customFormat="1" ht="12.75">
      <c r="A14" s="2" t="s">
        <v>36</v>
      </c>
      <c r="B14" s="174">
        <v>0.7</v>
      </c>
      <c r="C14" s="119">
        <f>$B14</f>
        <v>0.7</v>
      </c>
      <c r="D14" s="119">
        <f t="shared" si="5"/>
        <v>0.7</v>
      </c>
      <c r="E14" s="119">
        <f t="shared" si="5"/>
        <v>0.7</v>
      </c>
      <c r="F14" s="119">
        <f t="shared" si="5"/>
        <v>0.7</v>
      </c>
      <c r="G14" s="119">
        <f t="shared" si="5"/>
        <v>0.7</v>
      </c>
      <c r="H14" s="119">
        <f t="shared" si="5"/>
        <v>0.7</v>
      </c>
      <c r="I14" s="119">
        <f t="shared" si="5"/>
        <v>0.7</v>
      </c>
      <c r="J14" s="119">
        <f t="shared" si="5"/>
        <v>0.7</v>
      </c>
      <c r="K14" s="119">
        <f t="shared" si="5"/>
        <v>0.7</v>
      </c>
      <c r="L14" s="119">
        <f t="shared" si="5"/>
        <v>0.7</v>
      </c>
      <c r="M14"/>
      <c r="N14" s="119">
        <f t="shared" si="5"/>
        <v>0.7</v>
      </c>
      <c r="O14" s="119">
        <f t="shared" si="5"/>
        <v>0.7</v>
      </c>
      <c r="P14" s="119">
        <f t="shared" si="5"/>
        <v>0.7</v>
      </c>
      <c r="Q14" s="119">
        <f t="shared" si="5"/>
        <v>0.7</v>
      </c>
      <c r="R14" s="119">
        <f t="shared" si="5"/>
        <v>0.7</v>
      </c>
      <c r="S14" s="119">
        <f t="shared" si="5"/>
        <v>0.7</v>
      </c>
      <c r="T14" s="119">
        <f t="shared" si="5"/>
        <v>0.7</v>
      </c>
      <c r="U14" s="119">
        <f t="shared" si="5"/>
        <v>0.7</v>
      </c>
      <c r="V14" s="119">
        <f t="shared" si="5"/>
        <v>0.7</v>
      </c>
      <c r="W14" s="119">
        <f t="shared" si="5"/>
        <v>0.7</v>
      </c>
      <c r="X14"/>
      <c r="Y14" s="119">
        <f t="shared" si="5"/>
        <v>0.7</v>
      </c>
      <c r="Z14" s="119">
        <f t="shared" si="5"/>
        <v>0.7</v>
      </c>
      <c r="AA14" s="119">
        <f t="shared" si="5"/>
        <v>0.7</v>
      </c>
      <c r="AB14" s="119">
        <f t="shared" si="5"/>
        <v>0.7</v>
      </c>
      <c r="AC14" s="119">
        <f t="shared" si="5"/>
        <v>0.7</v>
      </c>
      <c r="AD14" s="119">
        <f t="shared" si="5"/>
        <v>0.7</v>
      </c>
      <c r="AE14" s="119">
        <f t="shared" si="5"/>
        <v>0.7</v>
      </c>
      <c r="AF14" s="119">
        <f t="shared" si="5"/>
        <v>0.7</v>
      </c>
      <c r="AG14" s="119">
        <f t="shared" si="5"/>
        <v>0.7</v>
      </c>
      <c r="AH14" s="119">
        <f t="shared" si="5"/>
        <v>0.7</v>
      </c>
      <c r="AI14"/>
      <c r="AJ14" s="119">
        <f t="shared" si="5"/>
        <v>0.7</v>
      </c>
      <c r="AK14" s="119">
        <f t="shared" si="5"/>
        <v>0.7</v>
      </c>
      <c r="AL14" s="119">
        <f t="shared" si="5"/>
        <v>0.7</v>
      </c>
      <c r="AM14" s="119">
        <f t="shared" si="5"/>
        <v>0.7</v>
      </c>
      <c r="AN14" s="119">
        <f t="shared" si="5"/>
        <v>0.7</v>
      </c>
      <c r="AO14" s="119">
        <f t="shared" si="5"/>
        <v>0.7</v>
      </c>
      <c r="AP14" s="119">
        <f t="shared" si="5"/>
        <v>0.7</v>
      </c>
      <c r="AQ14" s="119">
        <f t="shared" si="5"/>
        <v>0.7</v>
      </c>
      <c r="AR14" s="119">
        <f t="shared" si="5"/>
        <v>0.7</v>
      </c>
      <c r="AS14" s="119">
        <f t="shared" si="5"/>
        <v>0.7</v>
      </c>
      <c r="AT14"/>
      <c r="AU14" s="119">
        <f t="shared" si="5"/>
        <v>0.7</v>
      </c>
      <c r="AV14" s="119">
        <f t="shared" si="5"/>
        <v>0.7</v>
      </c>
      <c r="AW14" s="119">
        <f t="shared" si="5"/>
        <v>0.7</v>
      </c>
      <c r="AX14" s="119">
        <f t="shared" si="5"/>
        <v>0.7</v>
      </c>
      <c r="AY14" s="119">
        <f t="shared" si="5"/>
        <v>0.7</v>
      </c>
      <c r="AZ14" s="119">
        <f t="shared" si="5"/>
        <v>0.7</v>
      </c>
      <c r="BA14" s="119">
        <f t="shared" si="5"/>
        <v>0.7</v>
      </c>
      <c r="BB14" s="119">
        <f>$B14</f>
        <v>0.7</v>
      </c>
      <c r="BC14" s="119">
        <f>$B14</f>
        <v>0.7</v>
      </c>
      <c r="BD14" s="119">
        <f>$B14</f>
        <v>0.7</v>
      </c>
      <c r="BE14"/>
      <c r="BF14"/>
    </row>
    <row r="15" spans="1:58" s="54" customFormat="1" ht="12.75">
      <c r="A15" s="2" t="s">
        <v>34</v>
      </c>
      <c r="C15" s="118">
        <f aca="true" t="shared" si="7" ref="C15:AH15">ROUNDDOWN(C$9*C14,0)</f>
        <v>8</v>
      </c>
      <c r="D15" s="118">
        <f t="shared" si="7"/>
        <v>22</v>
      </c>
      <c r="E15" s="118">
        <f t="shared" si="7"/>
        <v>6</v>
      </c>
      <c r="F15" s="118">
        <f t="shared" si="7"/>
        <v>25</v>
      </c>
      <c r="G15" s="118">
        <f t="shared" si="7"/>
        <v>25</v>
      </c>
      <c r="H15" s="118">
        <f t="shared" si="7"/>
        <v>16</v>
      </c>
      <c r="I15" s="118">
        <f t="shared" si="7"/>
        <v>0</v>
      </c>
      <c r="J15" s="118">
        <f t="shared" si="7"/>
        <v>0</v>
      </c>
      <c r="K15" s="118">
        <f t="shared" si="7"/>
        <v>0</v>
      </c>
      <c r="L15" s="118">
        <f t="shared" si="7"/>
        <v>0</v>
      </c>
      <c r="M15"/>
      <c r="N15" s="118">
        <f t="shared" si="7"/>
        <v>11</v>
      </c>
      <c r="O15" s="118">
        <f t="shared" si="7"/>
        <v>28</v>
      </c>
      <c r="P15" s="118">
        <f t="shared" si="7"/>
        <v>9</v>
      </c>
      <c r="Q15" s="118">
        <f t="shared" si="7"/>
        <v>25</v>
      </c>
      <c r="R15" s="118">
        <f t="shared" si="7"/>
        <v>25</v>
      </c>
      <c r="S15" s="118">
        <f t="shared" si="7"/>
        <v>14</v>
      </c>
      <c r="T15" s="118">
        <f t="shared" si="7"/>
        <v>0</v>
      </c>
      <c r="U15" s="118">
        <f t="shared" si="7"/>
        <v>0</v>
      </c>
      <c r="V15" s="118">
        <f t="shared" si="7"/>
        <v>0</v>
      </c>
      <c r="W15" s="118">
        <f t="shared" si="7"/>
        <v>0</v>
      </c>
      <c r="X15"/>
      <c r="Y15" s="118">
        <f t="shared" si="7"/>
        <v>7</v>
      </c>
      <c r="Z15" s="118">
        <f t="shared" si="7"/>
        <v>9</v>
      </c>
      <c r="AA15" s="118">
        <f t="shared" si="7"/>
        <v>2</v>
      </c>
      <c r="AB15" s="118">
        <f t="shared" si="7"/>
        <v>9</v>
      </c>
      <c r="AC15" s="118">
        <f t="shared" si="7"/>
        <v>9</v>
      </c>
      <c r="AD15" s="118">
        <f t="shared" si="7"/>
        <v>6</v>
      </c>
      <c r="AE15" s="118">
        <f t="shared" si="7"/>
        <v>0</v>
      </c>
      <c r="AF15" s="118">
        <f t="shared" si="7"/>
        <v>0</v>
      </c>
      <c r="AG15" s="118">
        <f t="shared" si="7"/>
        <v>0</v>
      </c>
      <c r="AH15" s="118">
        <f t="shared" si="7"/>
        <v>0</v>
      </c>
      <c r="AI15"/>
      <c r="AJ15" s="118">
        <f aca="true" t="shared" si="8" ref="AJ15:BD15">ROUNDDOWN(AJ$9*AJ14,0)</f>
        <v>5</v>
      </c>
      <c r="AK15" s="118">
        <f t="shared" si="8"/>
        <v>20</v>
      </c>
      <c r="AL15" s="118">
        <f t="shared" si="8"/>
        <v>4</v>
      </c>
      <c r="AM15" s="118">
        <f t="shared" si="8"/>
        <v>17</v>
      </c>
      <c r="AN15" s="118">
        <f t="shared" si="8"/>
        <v>17</v>
      </c>
      <c r="AO15" s="118">
        <f t="shared" si="8"/>
        <v>11</v>
      </c>
      <c r="AP15" s="118">
        <f t="shared" si="8"/>
        <v>0</v>
      </c>
      <c r="AQ15" s="118">
        <f t="shared" si="8"/>
        <v>0</v>
      </c>
      <c r="AR15" s="118">
        <f t="shared" si="8"/>
        <v>0</v>
      </c>
      <c r="AS15" s="118">
        <f t="shared" si="8"/>
        <v>0</v>
      </c>
      <c r="AT15"/>
      <c r="AU15" s="118">
        <f t="shared" si="8"/>
        <v>3</v>
      </c>
      <c r="AV15" s="118">
        <f t="shared" si="8"/>
        <v>12</v>
      </c>
      <c r="AW15" s="118">
        <f t="shared" si="8"/>
        <v>2</v>
      </c>
      <c r="AX15" s="118">
        <f t="shared" si="8"/>
        <v>9</v>
      </c>
      <c r="AY15" s="118">
        <f t="shared" si="8"/>
        <v>9</v>
      </c>
      <c r="AZ15" s="118">
        <f t="shared" si="8"/>
        <v>5</v>
      </c>
      <c r="BA15" s="118">
        <f t="shared" si="8"/>
        <v>0</v>
      </c>
      <c r="BB15" s="118">
        <f t="shared" si="8"/>
        <v>0</v>
      </c>
      <c r="BC15" s="118">
        <f t="shared" si="8"/>
        <v>0</v>
      </c>
      <c r="BD15" s="118">
        <f t="shared" si="8"/>
        <v>0</v>
      </c>
      <c r="BE15"/>
      <c r="BF15"/>
    </row>
    <row r="16" spans="1:58" s="54" customFormat="1" ht="12.75">
      <c r="A16" s="2" t="s">
        <v>166</v>
      </c>
      <c r="B16" s="174">
        <v>1</v>
      </c>
      <c r="C16" s="119">
        <f>$B16</f>
        <v>1</v>
      </c>
      <c r="D16" s="119">
        <f t="shared" si="5"/>
        <v>1</v>
      </c>
      <c r="E16" s="119">
        <f t="shared" si="5"/>
        <v>1</v>
      </c>
      <c r="F16" s="119">
        <f t="shared" si="5"/>
        <v>1</v>
      </c>
      <c r="G16" s="119">
        <f t="shared" si="5"/>
        <v>1</v>
      </c>
      <c r="H16" s="119">
        <f t="shared" si="5"/>
        <v>1</v>
      </c>
      <c r="I16" s="119">
        <f t="shared" si="5"/>
        <v>1</v>
      </c>
      <c r="J16" s="119">
        <f t="shared" si="5"/>
        <v>1</v>
      </c>
      <c r="K16" s="119">
        <f t="shared" si="5"/>
        <v>1</v>
      </c>
      <c r="L16" s="119">
        <f t="shared" si="5"/>
        <v>1</v>
      </c>
      <c r="M16"/>
      <c r="N16" s="119">
        <f t="shared" si="5"/>
        <v>1</v>
      </c>
      <c r="O16" s="119">
        <f t="shared" si="5"/>
        <v>1</v>
      </c>
      <c r="P16" s="119">
        <f t="shared" si="5"/>
        <v>1</v>
      </c>
      <c r="Q16" s="119">
        <f t="shared" si="5"/>
        <v>1</v>
      </c>
      <c r="R16" s="119">
        <f t="shared" si="5"/>
        <v>1</v>
      </c>
      <c r="S16" s="119">
        <f t="shared" si="5"/>
        <v>1</v>
      </c>
      <c r="T16" s="119">
        <f t="shared" si="5"/>
        <v>1</v>
      </c>
      <c r="U16" s="119">
        <f t="shared" si="5"/>
        <v>1</v>
      </c>
      <c r="V16" s="119">
        <f t="shared" si="5"/>
        <v>1</v>
      </c>
      <c r="W16" s="119">
        <f t="shared" si="5"/>
        <v>1</v>
      </c>
      <c r="X16"/>
      <c r="Y16" s="119">
        <f t="shared" si="5"/>
        <v>1</v>
      </c>
      <c r="Z16" s="119">
        <f t="shared" si="5"/>
        <v>1</v>
      </c>
      <c r="AA16" s="119">
        <f t="shared" si="5"/>
        <v>1</v>
      </c>
      <c r="AB16" s="119">
        <f t="shared" si="5"/>
        <v>1</v>
      </c>
      <c r="AC16" s="119">
        <f t="shared" si="5"/>
        <v>1</v>
      </c>
      <c r="AD16" s="119">
        <f t="shared" si="5"/>
        <v>1</v>
      </c>
      <c r="AE16" s="119">
        <f t="shared" si="5"/>
        <v>1</v>
      </c>
      <c r="AF16" s="119">
        <f t="shared" si="5"/>
        <v>1</v>
      </c>
      <c r="AG16" s="119">
        <f t="shared" si="5"/>
        <v>1</v>
      </c>
      <c r="AH16" s="119">
        <f t="shared" si="5"/>
        <v>1</v>
      </c>
      <c r="AI16"/>
      <c r="AJ16" s="119">
        <f t="shared" si="5"/>
        <v>1</v>
      </c>
      <c r="AK16" s="119">
        <f t="shared" si="5"/>
        <v>1</v>
      </c>
      <c r="AL16" s="119">
        <f t="shared" si="5"/>
        <v>1</v>
      </c>
      <c r="AM16" s="119">
        <f t="shared" si="5"/>
        <v>1</v>
      </c>
      <c r="AN16" s="119">
        <f t="shared" si="5"/>
        <v>1</v>
      </c>
      <c r="AO16" s="119">
        <f t="shared" si="5"/>
        <v>1</v>
      </c>
      <c r="AP16" s="119">
        <f t="shared" si="5"/>
        <v>1</v>
      </c>
      <c r="AQ16" s="119">
        <f t="shared" si="5"/>
        <v>1</v>
      </c>
      <c r="AR16" s="119">
        <f t="shared" si="5"/>
        <v>1</v>
      </c>
      <c r="AS16" s="119">
        <f t="shared" si="5"/>
        <v>1</v>
      </c>
      <c r="AT16"/>
      <c r="AU16" s="119">
        <f t="shared" si="5"/>
        <v>1</v>
      </c>
      <c r="AV16" s="119">
        <f t="shared" si="5"/>
        <v>1</v>
      </c>
      <c r="AW16" s="119">
        <f t="shared" si="5"/>
        <v>1</v>
      </c>
      <c r="AX16" s="119">
        <f t="shared" si="5"/>
        <v>1</v>
      </c>
      <c r="AY16" s="119">
        <f t="shared" si="5"/>
        <v>1</v>
      </c>
      <c r="AZ16" s="119">
        <f t="shared" si="5"/>
        <v>1</v>
      </c>
      <c r="BA16" s="119">
        <f t="shared" si="5"/>
        <v>1</v>
      </c>
      <c r="BB16" s="119">
        <f>$B16</f>
        <v>1</v>
      </c>
      <c r="BC16" s="119">
        <f>$B16</f>
        <v>1</v>
      </c>
      <c r="BD16" s="119">
        <f>$B16</f>
        <v>1</v>
      </c>
      <c r="BE16"/>
      <c r="BF16"/>
    </row>
    <row r="17" spans="1:58" s="54" customFormat="1" ht="12.75">
      <c r="A17" s="2" t="s">
        <v>35</v>
      </c>
      <c r="C17" s="118">
        <f aca="true" t="shared" si="9" ref="C17:AH17">ROUNDDOWN(C$9*C16,0)</f>
        <v>12</v>
      </c>
      <c r="D17" s="118">
        <f t="shared" si="9"/>
        <v>32</v>
      </c>
      <c r="E17" s="118">
        <f t="shared" si="9"/>
        <v>9</v>
      </c>
      <c r="F17" s="118">
        <f t="shared" si="9"/>
        <v>36</v>
      </c>
      <c r="G17" s="118">
        <f t="shared" si="9"/>
        <v>36</v>
      </c>
      <c r="H17" s="118">
        <f t="shared" si="9"/>
        <v>24</v>
      </c>
      <c r="I17" s="118">
        <f t="shared" si="9"/>
        <v>0</v>
      </c>
      <c r="J17" s="118">
        <f t="shared" si="9"/>
        <v>0</v>
      </c>
      <c r="K17" s="118">
        <f t="shared" si="9"/>
        <v>0</v>
      </c>
      <c r="L17" s="118">
        <f t="shared" si="9"/>
        <v>0</v>
      </c>
      <c r="M17"/>
      <c r="N17" s="118">
        <f t="shared" si="9"/>
        <v>16</v>
      </c>
      <c r="O17" s="118">
        <f t="shared" si="9"/>
        <v>40</v>
      </c>
      <c r="P17" s="118">
        <f t="shared" si="9"/>
        <v>14</v>
      </c>
      <c r="Q17" s="118">
        <f t="shared" si="9"/>
        <v>36</v>
      </c>
      <c r="R17" s="118">
        <f t="shared" si="9"/>
        <v>36</v>
      </c>
      <c r="S17" s="118">
        <f t="shared" si="9"/>
        <v>21</v>
      </c>
      <c r="T17" s="118">
        <f t="shared" si="9"/>
        <v>0</v>
      </c>
      <c r="U17" s="118">
        <f t="shared" si="9"/>
        <v>0</v>
      </c>
      <c r="V17" s="118">
        <f t="shared" si="9"/>
        <v>0</v>
      </c>
      <c r="W17" s="118">
        <f t="shared" si="9"/>
        <v>0</v>
      </c>
      <c r="X17"/>
      <c r="Y17" s="118">
        <f t="shared" si="9"/>
        <v>10</v>
      </c>
      <c r="Z17" s="118">
        <f t="shared" si="9"/>
        <v>13</v>
      </c>
      <c r="AA17" s="118">
        <f t="shared" si="9"/>
        <v>4</v>
      </c>
      <c r="AB17" s="118">
        <f t="shared" si="9"/>
        <v>13</v>
      </c>
      <c r="AC17" s="118">
        <f t="shared" si="9"/>
        <v>13</v>
      </c>
      <c r="AD17" s="118">
        <f t="shared" si="9"/>
        <v>9</v>
      </c>
      <c r="AE17" s="118">
        <f t="shared" si="9"/>
        <v>0</v>
      </c>
      <c r="AF17" s="118">
        <f t="shared" si="9"/>
        <v>0</v>
      </c>
      <c r="AG17" s="118">
        <f t="shared" si="9"/>
        <v>0</v>
      </c>
      <c r="AH17" s="118">
        <f t="shared" si="9"/>
        <v>0</v>
      </c>
      <c r="AI17"/>
      <c r="AJ17" s="118">
        <f aca="true" t="shared" si="10" ref="AJ17:BD17">ROUNDDOWN(AJ$9*AJ16,0)</f>
        <v>8</v>
      </c>
      <c r="AK17" s="118">
        <f t="shared" si="10"/>
        <v>29</v>
      </c>
      <c r="AL17" s="118">
        <f t="shared" si="10"/>
        <v>7</v>
      </c>
      <c r="AM17" s="118">
        <f t="shared" si="10"/>
        <v>25</v>
      </c>
      <c r="AN17" s="118">
        <f t="shared" si="10"/>
        <v>25</v>
      </c>
      <c r="AO17" s="118">
        <f t="shared" si="10"/>
        <v>17</v>
      </c>
      <c r="AP17" s="118">
        <f t="shared" si="10"/>
        <v>0</v>
      </c>
      <c r="AQ17" s="118">
        <f t="shared" si="10"/>
        <v>0</v>
      </c>
      <c r="AR17" s="118">
        <f t="shared" si="10"/>
        <v>0</v>
      </c>
      <c r="AS17" s="118">
        <f t="shared" si="10"/>
        <v>0</v>
      </c>
      <c r="AT17"/>
      <c r="AU17" s="118">
        <f t="shared" si="10"/>
        <v>5</v>
      </c>
      <c r="AV17" s="118">
        <f t="shared" si="10"/>
        <v>18</v>
      </c>
      <c r="AW17" s="118">
        <f t="shared" si="10"/>
        <v>4</v>
      </c>
      <c r="AX17" s="118">
        <f t="shared" si="10"/>
        <v>14</v>
      </c>
      <c r="AY17" s="118">
        <f t="shared" si="10"/>
        <v>14</v>
      </c>
      <c r="AZ17" s="118">
        <f t="shared" si="10"/>
        <v>8</v>
      </c>
      <c r="BA17" s="118">
        <f t="shared" si="10"/>
        <v>0</v>
      </c>
      <c r="BB17" s="118">
        <f t="shared" si="10"/>
        <v>0</v>
      </c>
      <c r="BC17" s="118">
        <f t="shared" si="10"/>
        <v>0</v>
      </c>
      <c r="BD17" s="118">
        <f t="shared" si="10"/>
        <v>0</v>
      </c>
      <c r="BE17"/>
      <c r="BF17"/>
    </row>
    <row r="18" spans="1:58" s="54" customFormat="1" ht="12.75">
      <c r="A18" s="2"/>
      <c r="M18"/>
      <c r="X18"/>
      <c r="AI18"/>
      <c r="AT18"/>
      <c r="BE18"/>
      <c r="BF18"/>
    </row>
    <row r="19" spans="1:58" s="54" customFormat="1" ht="12.75">
      <c r="A19" s="2"/>
      <c r="M19"/>
      <c r="X19"/>
      <c r="AI19"/>
      <c r="AT19"/>
      <c r="BE19"/>
      <c r="BF19"/>
    </row>
    <row r="20" spans="1:58" s="54" customFormat="1" ht="12.75">
      <c r="A20" s="2" t="s">
        <v>134</v>
      </c>
      <c r="M20"/>
      <c r="X20"/>
      <c r="AI20"/>
      <c r="AT20"/>
      <c r="BE20"/>
      <c r="BF20"/>
    </row>
    <row r="21" spans="1:58" s="54" customFormat="1" ht="12.75">
      <c r="A21" s="2"/>
      <c r="M21"/>
      <c r="X21"/>
      <c r="AI21"/>
      <c r="AT21"/>
      <c r="BE21"/>
      <c r="BF21"/>
    </row>
    <row r="22" spans="1:58" s="54" customFormat="1" ht="12.75">
      <c r="A22" s="2" t="s">
        <v>0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/>
      <c r="BF22"/>
    </row>
    <row r="23" spans="1:58" s="54" customFormat="1" ht="12.75">
      <c r="A23" s="2"/>
      <c r="M23"/>
      <c r="X23"/>
      <c r="AI23"/>
      <c r="AT23"/>
      <c r="BE23"/>
      <c r="BF23"/>
    </row>
    <row r="24" spans="1:58" s="54" customFormat="1" ht="12.75">
      <c r="A24" s="2" t="s">
        <v>50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/>
      <c r="BF24"/>
    </row>
    <row r="25" spans="1:58" s="54" customFormat="1" ht="12.75">
      <c r="A25" s="2"/>
      <c r="M25"/>
      <c r="X25"/>
      <c r="AI25"/>
      <c r="AT25"/>
      <c r="BE25"/>
      <c r="BF25"/>
    </row>
    <row r="26" spans="1:58" s="54" customFormat="1" ht="12.75">
      <c r="A26" s="2" t="s">
        <v>42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/>
      <c r="BF26"/>
    </row>
    <row r="27" spans="1:58" s="54" customFormat="1" ht="12.75">
      <c r="A27" s="2"/>
      <c r="M27"/>
      <c r="X27"/>
      <c r="AI27"/>
      <c r="AT27"/>
      <c r="BE27"/>
      <c r="BF27"/>
    </row>
    <row r="28" spans="1:58" s="54" customFormat="1" ht="12.75">
      <c r="A28" s="46" t="s">
        <v>28</v>
      </c>
      <c r="M28"/>
      <c r="X28"/>
      <c r="AI28"/>
      <c r="AT28"/>
      <c r="BE28"/>
      <c r="BF28"/>
    </row>
    <row r="29" spans="1:58" s="54" customFormat="1" ht="12.75">
      <c r="A29" s="2"/>
      <c r="M29"/>
      <c r="X29"/>
      <c r="AI29"/>
      <c r="AT29"/>
      <c r="BE29"/>
      <c r="BF29"/>
    </row>
    <row r="30" spans="1:58" s="54" customFormat="1" ht="12.75">
      <c r="A30" s="2"/>
      <c r="M30"/>
      <c r="X30"/>
      <c r="AI30"/>
      <c r="AT30"/>
      <c r="BE30"/>
      <c r="BF30"/>
    </row>
    <row r="31" spans="1:58" s="54" customFormat="1" ht="12.75">
      <c r="A31" s="2"/>
      <c r="M31"/>
      <c r="X31"/>
      <c r="AI31"/>
      <c r="AT31"/>
      <c r="BE31"/>
      <c r="BF31"/>
    </row>
    <row r="32" spans="1:58" s="54" customFormat="1" ht="12.75">
      <c r="A32" s="2"/>
      <c r="M32"/>
      <c r="X32"/>
      <c r="AI32"/>
      <c r="AT32"/>
      <c r="BE32"/>
      <c r="BF32"/>
    </row>
    <row r="33" spans="1:58" s="54" customFormat="1" ht="12.75">
      <c r="A33" s="2"/>
      <c r="M33"/>
      <c r="X33"/>
      <c r="AI33"/>
      <c r="AT33"/>
      <c r="BE33"/>
      <c r="BF33"/>
    </row>
    <row r="34" spans="1:58" s="54" customFormat="1" ht="12.75">
      <c r="A34" s="2"/>
      <c r="M34"/>
      <c r="X34"/>
      <c r="AI34"/>
      <c r="AT34"/>
      <c r="BE34"/>
      <c r="BF34"/>
    </row>
    <row r="35" spans="1:58" s="54" customFormat="1" ht="12.75">
      <c r="A35" s="2"/>
      <c r="M35"/>
      <c r="X35"/>
      <c r="AI35"/>
      <c r="AT35"/>
      <c r="BE35"/>
      <c r="BF35"/>
    </row>
    <row r="36" spans="1:58" s="54" customFormat="1" ht="12.75">
      <c r="A36" s="2"/>
      <c r="M36"/>
      <c r="X36"/>
      <c r="AI36"/>
      <c r="AT36"/>
      <c r="BE36"/>
      <c r="BF36"/>
    </row>
    <row r="37" spans="1:58" s="54" customFormat="1" ht="12.75">
      <c r="A37" s="2"/>
      <c r="M37"/>
      <c r="X37"/>
      <c r="AI37"/>
      <c r="AT37"/>
      <c r="BE37"/>
      <c r="BF37"/>
    </row>
    <row r="38" spans="1:58" s="54" customFormat="1" ht="12.75">
      <c r="A38" s="2"/>
      <c r="M38"/>
      <c r="X38"/>
      <c r="AI38"/>
      <c r="AT38"/>
      <c r="BE38"/>
      <c r="BF38"/>
    </row>
    <row r="39" spans="1:58" s="54" customFormat="1" ht="12.75">
      <c r="A39" s="2"/>
      <c r="M39"/>
      <c r="X39"/>
      <c r="AI39"/>
      <c r="AT39"/>
      <c r="BE39"/>
      <c r="BF39"/>
    </row>
  </sheetData>
  <printOptions/>
  <pageMargins left="0.984251968503937" right="0.5905511811023623" top="0.7874015748031497" bottom="0.5905511811023623" header="0.5118110236220472" footer="0.5118110236220472"/>
  <pageSetup fitToHeight="1" fitToWidth="1" orientation="landscape" paperSize="9" scale="4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3"/>
  <sheetViews>
    <sheetView zoomScale="125" zoomScaleNormal="125" zoomScaleSheetLayoutView="150" workbookViewId="0" topLeftCell="A4">
      <pane xSplit="1" topLeftCell="AQ1" activePane="topRight" state="frozen"/>
      <selection pane="topLeft" activeCell="A50" sqref="A1:G50"/>
      <selection pane="topRight" activeCell="A12" sqref="A12"/>
    </sheetView>
  </sheetViews>
  <sheetFormatPr defaultColWidth="11.00390625" defaultRowHeight="12"/>
  <cols>
    <col min="1" max="1" width="28.375" style="12" customWidth="1"/>
    <col min="2" max="2" width="5.50390625" style="12" customWidth="1"/>
    <col min="3" max="12" width="3.875" style="2" customWidth="1"/>
    <col min="13" max="13" width="5.625" style="2" customWidth="1"/>
    <col min="14" max="23" width="3.875" style="54" customWidth="1"/>
    <col min="24" max="24" width="5.625" style="54" customWidth="1"/>
    <col min="25" max="27" width="3.875" style="54" customWidth="1"/>
    <col min="28" max="34" width="3.875" style="2" customWidth="1"/>
    <col min="35" max="35" width="5.625" style="2" customWidth="1"/>
    <col min="36" max="45" width="3.875" style="2" customWidth="1"/>
    <col min="46" max="46" width="5.625" style="2" customWidth="1"/>
    <col min="47" max="56" width="3.875" style="2" customWidth="1"/>
    <col min="57" max="59" width="5.625" style="2" customWidth="1"/>
    <col min="60" max="60" width="5.875" style="2" customWidth="1"/>
    <col min="61" max="62" width="5.875" style="0" customWidth="1"/>
    <col min="63" max="63" width="4.50390625" style="2" customWidth="1"/>
    <col min="64" max="16384" width="10.875" style="2" customWidth="1"/>
  </cols>
  <sheetData>
    <row r="1" ht="12.75">
      <c r="A1" s="12" t="str">
        <f>Basiswerte!A1</f>
        <v>Budgettool zur Berechnung der Betriebskosten eines Tagesschulangebotes</v>
      </c>
    </row>
    <row r="2" ht="15" customHeight="1">
      <c r="A2" s="12" t="str">
        <f>Basiswerte!A2</f>
        <v>Variante selber kochen</v>
      </c>
    </row>
    <row r="3" spans="1:2" ht="15">
      <c r="A3" s="57"/>
      <c r="B3" s="57"/>
    </row>
    <row r="4" spans="1:62" s="1" customFormat="1" ht="15">
      <c r="A4" s="57" t="s">
        <v>41</v>
      </c>
      <c r="B4" s="57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BI4"/>
      <c r="BJ4"/>
    </row>
    <row r="6" spans="3:59" ht="12.75">
      <c r="C6" s="77" t="s">
        <v>188</v>
      </c>
      <c r="D6" s="78"/>
      <c r="E6" s="78"/>
      <c r="F6" s="78"/>
      <c r="G6" s="78"/>
      <c r="H6" s="78"/>
      <c r="I6" s="78"/>
      <c r="J6" s="78"/>
      <c r="K6" s="78"/>
      <c r="L6" s="78"/>
      <c r="M6" s="79"/>
      <c r="N6" s="77" t="s">
        <v>21</v>
      </c>
      <c r="O6" s="78"/>
      <c r="P6" s="78"/>
      <c r="Q6" s="78"/>
      <c r="R6" s="78"/>
      <c r="S6" s="78"/>
      <c r="T6" s="78"/>
      <c r="U6" s="78"/>
      <c r="V6" s="78"/>
      <c r="W6" s="78"/>
      <c r="X6" s="79"/>
      <c r="Y6" s="77" t="s">
        <v>22</v>
      </c>
      <c r="Z6" s="78"/>
      <c r="AA6" s="78"/>
      <c r="AB6" s="78"/>
      <c r="AC6" s="78"/>
      <c r="AD6" s="78"/>
      <c r="AE6" s="78"/>
      <c r="AF6" s="78"/>
      <c r="AG6" s="78"/>
      <c r="AH6" s="78"/>
      <c r="AI6" s="79"/>
      <c r="AJ6" s="77" t="s">
        <v>23</v>
      </c>
      <c r="AK6" s="78"/>
      <c r="AL6" s="78"/>
      <c r="AM6" s="78"/>
      <c r="AN6" s="78"/>
      <c r="AO6" s="78"/>
      <c r="AP6" s="78"/>
      <c r="AQ6" s="78"/>
      <c r="AR6" s="78"/>
      <c r="AS6" s="78"/>
      <c r="AT6" s="79"/>
      <c r="AU6" s="77" t="s">
        <v>24</v>
      </c>
      <c r="AV6" s="78"/>
      <c r="AW6" s="78"/>
      <c r="AX6" s="78"/>
      <c r="AY6" s="78"/>
      <c r="AZ6" s="78"/>
      <c r="BA6" s="78"/>
      <c r="BB6" s="78"/>
      <c r="BC6" s="78"/>
      <c r="BD6" s="78"/>
      <c r="BE6" s="79"/>
      <c r="BF6" s="78" t="s">
        <v>1</v>
      </c>
      <c r="BG6" s="78"/>
    </row>
    <row r="7" spans="1:62" s="8" customFormat="1" ht="33.75">
      <c r="A7" s="124" t="s">
        <v>18</v>
      </c>
      <c r="B7" s="125"/>
      <c r="C7" s="170">
        <v>0.2916666666666667</v>
      </c>
      <c r="D7" s="171">
        <v>0.4895833333333333</v>
      </c>
      <c r="E7" s="171">
        <f>D8</f>
        <v>0.5625</v>
      </c>
      <c r="F7" s="171">
        <f aca="true" t="shared" si="0" ref="F7:L7">E8</f>
        <v>0.6284722222222222</v>
      </c>
      <c r="G7" s="171">
        <f t="shared" si="0"/>
        <v>0.6701388888888888</v>
      </c>
      <c r="H7" s="171">
        <f t="shared" si="0"/>
        <v>0.7083333333333334</v>
      </c>
      <c r="I7" s="173">
        <f t="shared" si="0"/>
        <v>0.75</v>
      </c>
      <c r="J7" s="173">
        <f t="shared" si="0"/>
        <v>0.75</v>
      </c>
      <c r="K7" s="173">
        <f t="shared" si="0"/>
        <v>0.75</v>
      </c>
      <c r="L7" s="173">
        <f t="shared" si="0"/>
        <v>0.75</v>
      </c>
      <c r="M7" s="75"/>
      <c r="N7" s="170">
        <v>0.2916666666666667</v>
      </c>
      <c r="O7" s="171">
        <v>0.4895833333333333</v>
      </c>
      <c r="P7" s="171">
        <f aca="true" t="shared" si="1" ref="P7:W7">O8</f>
        <v>0.5625</v>
      </c>
      <c r="Q7" s="171">
        <f t="shared" si="1"/>
        <v>0.6284722222222222</v>
      </c>
      <c r="R7" s="171">
        <f t="shared" si="1"/>
        <v>0.6701388888888888</v>
      </c>
      <c r="S7" s="171">
        <f t="shared" si="1"/>
        <v>0.7083333333333334</v>
      </c>
      <c r="T7" s="173">
        <f t="shared" si="1"/>
        <v>0.75</v>
      </c>
      <c r="U7" s="173">
        <f t="shared" si="1"/>
        <v>0.75</v>
      </c>
      <c r="V7" s="173">
        <f t="shared" si="1"/>
        <v>0.75</v>
      </c>
      <c r="W7" s="173">
        <f t="shared" si="1"/>
        <v>0.75</v>
      </c>
      <c r="X7" s="75"/>
      <c r="Y7" s="172">
        <v>0.2916666666666667</v>
      </c>
      <c r="Z7" s="173">
        <v>0.4895833333333333</v>
      </c>
      <c r="AA7" s="173">
        <f aca="true" t="shared" si="2" ref="AA7:AH7">Z8</f>
        <v>0.5625</v>
      </c>
      <c r="AB7" s="173">
        <f t="shared" si="2"/>
        <v>0.6284722222222222</v>
      </c>
      <c r="AC7" s="173">
        <f t="shared" si="2"/>
        <v>0.6701388888888888</v>
      </c>
      <c r="AD7" s="173">
        <f t="shared" si="2"/>
        <v>0.7083333333333334</v>
      </c>
      <c r="AE7" s="173">
        <f t="shared" si="2"/>
        <v>0.75</v>
      </c>
      <c r="AF7" s="173">
        <f t="shared" si="2"/>
        <v>0.75</v>
      </c>
      <c r="AG7" s="173">
        <f t="shared" si="2"/>
        <v>0.75</v>
      </c>
      <c r="AH7" s="173">
        <f t="shared" si="2"/>
        <v>0.75</v>
      </c>
      <c r="AI7" s="75"/>
      <c r="AJ7" s="172">
        <v>0.2916666666666667</v>
      </c>
      <c r="AK7" s="173">
        <v>0.4895833333333333</v>
      </c>
      <c r="AL7" s="173">
        <f aca="true" t="shared" si="3" ref="AL7:AS7">AK8</f>
        <v>0.5625</v>
      </c>
      <c r="AM7" s="173">
        <f t="shared" si="3"/>
        <v>0.6284722222222222</v>
      </c>
      <c r="AN7" s="173">
        <f t="shared" si="3"/>
        <v>0.6701388888888888</v>
      </c>
      <c r="AO7" s="173">
        <f t="shared" si="3"/>
        <v>0.7083333333333334</v>
      </c>
      <c r="AP7" s="173">
        <f t="shared" si="3"/>
        <v>0.75</v>
      </c>
      <c r="AQ7" s="173">
        <f t="shared" si="3"/>
        <v>0.75</v>
      </c>
      <c r="AR7" s="173">
        <f t="shared" si="3"/>
        <v>0.75</v>
      </c>
      <c r="AS7" s="173">
        <f t="shared" si="3"/>
        <v>0.75</v>
      </c>
      <c r="AT7" s="75"/>
      <c r="AU7" s="172">
        <v>0.2916666666666667</v>
      </c>
      <c r="AV7" s="173">
        <v>0.4895833333333333</v>
      </c>
      <c r="AW7" s="173">
        <f aca="true" t="shared" si="4" ref="AW7:BD7">AV8</f>
        <v>0.5625</v>
      </c>
      <c r="AX7" s="173">
        <f t="shared" si="4"/>
        <v>0.6284722222222222</v>
      </c>
      <c r="AY7" s="173">
        <f t="shared" si="4"/>
        <v>0.6701388888888888</v>
      </c>
      <c r="AZ7" s="173">
        <f t="shared" si="4"/>
        <v>0.7083333333333334</v>
      </c>
      <c r="BA7" s="173">
        <f t="shared" si="4"/>
        <v>0.75</v>
      </c>
      <c r="BB7" s="173">
        <f t="shared" si="4"/>
        <v>0.75</v>
      </c>
      <c r="BC7" s="173">
        <f t="shared" si="4"/>
        <v>0.75</v>
      </c>
      <c r="BD7" s="173">
        <f t="shared" si="4"/>
        <v>0.75</v>
      </c>
      <c r="BE7" s="75"/>
      <c r="BF7" s="130"/>
      <c r="BG7" s="154"/>
      <c r="BH7" s="131"/>
      <c r="BI7"/>
      <c r="BJ7"/>
    </row>
    <row r="8" spans="1:62" s="8" customFormat="1" ht="33.75">
      <c r="A8" s="124" t="s">
        <v>19</v>
      </c>
      <c r="C8" s="170">
        <v>0.3333333333333333</v>
      </c>
      <c r="D8" s="171">
        <v>0.5625</v>
      </c>
      <c r="E8" s="171">
        <v>0.6284722222222222</v>
      </c>
      <c r="F8" s="171">
        <v>0.6701388888888888</v>
      </c>
      <c r="G8" s="171">
        <v>0.7083333333333334</v>
      </c>
      <c r="H8" s="171">
        <v>0.75</v>
      </c>
      <c r="I8" s="173">
        <v>0.75</v>
      </c>
      <c r="J8" s="173">
        <v>0.75</v>
      </c>
      <c r="K8" s="173">
        <v>0.75</v>
      </c>
      <c r="L8" s="173">
        <v>0.75</v>
      </c>
      <c r="M8" s="75" t="s">
        <v>17</v>
      </c>
      <c r="N8" s="170">
        <v>0.3333333333333333</v>
      </c>
      <c r="O8" s="171">
        <v>0.5625</v>
      </c>
      <c r="P8" s="171">
        <v>0.6284722222222222</v>
      </c>
      <c r="Q8" s="171">
        <v>0.6701388888888888</v>
      </c>
      <c r="R8" s="171">
        <v>0.7083333333333334</v>
      </c>
      <c r="S8" s="171">
        <v>0.75</v>
      </c>
      <c r="T8" s="173">
        <v>0.75</v>
      </c>
      <c r="U8" s="173">
        <v>0.75</v>
      </c>
      <c r="V8" s="173">
        <v>0.75</v>
      </c>
      <c r="W8" s="173">
        <v>0.75</v>
      </c>
      <c r="X8" s="75" t="s">
        <v>17</v>
      </c>
      <c r="Y8" s="172">
        <v>0.3333333333333333</v>
      </c>
      <c r="Z8" s="173">
        <v>0.5625</v>
      </c>
      <c r="AA8" s="173">
        <v>0.6284722222222222</v>
      </c>
      <c r="AB8" s="173">
        <v>0.6701388888888888</v>
      </c>
      <c r="AC8" s="173">
        <v>0.7083333333333334</v>
      </c>
      <c r="AD8" s="173">
        <v>0.75</v>
      </c>
      <c r="AE8" s="173">
        <v>0.75</v>
      </c>
      <c r="AF8" s="173">
        <v>0.75</v>
      </c>
      <c r="AG8" s="173">
        <v>0.75</v>
      </c>
      <c r="AH8" s="173">
        <v>0.75</v>
      </c>
      <c r="AI8" s="75" t="s">
        <v>17</v>
      </c>
      <c r="AJ8" s="172">
        <v>0.3333333333333333</v>
      </c>
      <c r="AK8" s="173">
        <v>0.5625</v>
      </c>
      <c r="AL8" s="173">
        <v>0.6284722222222222</v>
      </c>
      <c r="AM8" s="173">
        <v>0.6701388888888888</v>
      </c>
      <c r="AN8" s="173">
        <v>0.7083333333333334</v>
      </c>
      <c r="AO8" s="173">
        <v>0.75</v>
      </c>
      <c r="AP8" s="173">
        <v>0.75</v>
      </c>
      <c r="AQ8" s="173">
        <v>0.75</v>
      </c>
      <c r="AR8" s="173">
        <v>0.75</v>
      </c>
      <c r="AS8" s="173">
        <v>0.75</v>
      </c>
      <c r="AT8" s="75" t="s">
        <v>17</v>
      </c>
      <c r="AU8" s="172">
        <v>0.3333333333333333</v>
      </c>
      <c r="AV8" s="173">
        <v>0.5625</v>
      </c>
      <c r="AW8" s="173">
        <v>0.6284722222222222</v>
      </c>
      <c r="AX8" s="173">
        <v>0.6701388888888888</v>
      </c>
      <c r="AY8" s="173">
        <v>0.7083333333333334</v>
      </c>
      <c r="AZ8" s="173">
        <v>0.75</v>
      </c>
      <c r="BA8" s="173">
        <v>0.75</v>
      </c>
      <c r="BB8" s="173">
        <v>0.75</v>
      </c>
      <c r="BC8" s="173">
        <v>0.75</v>
      </c>
      <c r="BD8" s="173">
        <v>0.75</v>
      </c>
      <c r="BE8" s="75" t="s">
        <v>17</v>
      </c>
      <c r="BF8" s="132"/>
      <c r="BG8" s="156" t="s">
        <v>2</v>
      </c>
      <c r="BH8" s="133"/>
      <c r="BI8"/>
      <c r="BJ8"/>
    </row>
    <row r="9" spans="1:62" s="8" customFormat="1" ht="12.75">
      <c r="A9" s="65" t="s">
        <v>20</v>
      </c>
      <c r="B9" s="65"/>
      <c r="C9" s="182">
        <f aca="true" t="shared" si="5" ref="C9:L9">(C8-C7)*24</f>
        <v>0.9999999999999991</v>
      </c>
      <c r="D9" s="183">
        <f t="shared" si="5"/>
        <v>1.7500000000000004</v>
      </c>
      <c r="E9" s="183">
        <f t="shared" si="5"/>
        <v>1.583333333333333</v>
      </c>
      <c r="F9" s="183">
        <f t="shared" si="5"/>
        <v>0.9999999999999991</v>
      </c>
      <c r="G9" s="183">
        <f t="shared" si="5"/>
        <v>0.9166666666666687</v>
      </c>
      <c r="H9" s="183">
        <f t="shared" si="5"/>
        <v>0.9999999999999991</v>
      </c>
      <c r="I9" s="184">
        <f t="shared" si="5"/>
        <v>0</v>
      </c>
      <c r="J9" s="183">
        <f t="shared" si="5"/>
        <v>0</v>
      </c>
      <c r="K9" s="183">
        <f t="shared" si="5"/>
        <v>0</v>
      </c>
      <c r="L9" s="183">
        <f t="shared" si="5"/>
        <v>0</v>
      </c>
      <c r="M9" s="185">
        <f>SUM(C9:L9)</f>
        <v>7.249999999999999</v>
      </c>
      <c r="N9" s="182">
        <f aca="true" t="shared" si="6" ref="N9:W9">(N8-N7)*24</f>
        <v>0.9999999999999991</v>
      </c>
      <c r="O9" s="183">
        <f t="shared" si="6"/>
        <v>1.7500000000000004</v>
      </c>
      <c r="P9" s="183">
        <f t="shared" si="6"/>
        <v>1.583333333333333</v>
      </c>
      <c r="Q9" s="183">
        <f t="shared" si="6"/>
        <v>0.9999999999999991</v>
      </c>
      <c r="R9" s="183">
        <f t="shared" si="6"/>
        <v>0.9166666666666687</v>
      </c>
      <c r="S9" s="183">
        <f t="shared" si="6"/>
        <v>0.9999999999999991</v>
      </c>
      <c r="T9" s="184">
        <f t="shared" si="6"/>
        <v>0</v>
      </c>
      <c r="U9" s="183">
        <f t="shared" si="6"/>
        <v>0</v>
      </c>
      <c r="V9" s="183">
        <f t="shared" si="6"/>
        <v>0</v>
      </c>
      <c r="W9" s="183">
        <f t="shared" si="6"/>
        <v>0</v>
      </c>
      <c r="X9" s="185">
        <f>SUM(N9:W9)</f>
        <v>7.249999999999999</v>
      </c>
      <c r="Y9" s="182">
        <f aca="true" t="shared" si="7" ref="Y9:AH9">(Y8-Y7)*24</f>
        <v>0.9999999999999991</v>
      </c>
      <c r="Z9" s="183">
        <f t="shared" si="7"/>
        <v>1.7500000000000004</v>
      </c>
      <c r="AA9" s="183">
        <f t="shared" si="7"/>
        <v>1.583333333333333</v>
      </c>
      <c r="AB9" s="183">
        <f t="shared" si="7"/>
        <v>0.9999999999999991</v>
      </c>
      <c r="AC9" s="183">
        <f t="shared" si="7"/>
        <v>0.9166666666666687</v>
      </c>
      <c r="AD9" s="183">
        <f t="shared" si="7"/>
        <v>0.9999999999999991</v>
      </c>
      <c r="AE9" s="184">
        <f t="shared" si="7"/>
        <v>0</v>
      </c>
      <c r="AF9" s="183">
        <f t="shared" si="7"/>
        <v>0</v>
      </c>
      <c r="AG9" s="183">
        <f t="shared" si="7"/>
        <v>0</v>
      </c>
      <c r="AH9" s="183">
        <f t="shared" si="7"/>
        <v>0</v>
      </c>
      <c r="AI9" s="185">
        <f>SUM(Y9:AH9)</f>
        <v>7.249999999999999</v>
      </c>
      <c r="AJ9" s="182">
        <f aca="true" t="shared" si="8" ref="AJ9:AS9">(AJ8-AJ7)*24</f>
        <v>0.9999999999999991</v>
      </c>
      <c r="AK9" s="183">
        <f t="shared" si="8"/>
        <v>1.7500000000000004</v>
      </c>
      <c r="AL9" s="183">
        <f t="shared" si="8"/>
        <v>1.583333333333333</v>
      </c>
      <c r="AM9" s="183">
        <f t="shared" si="8"/>
        <v>0.9999999999999991</v>
      </c>
      <c r="AN9" s="183">
        <f t="shared" si="8"/>
        <v>0.9166666666666687</v>
      </c>
      <c r="AO9" s="186">
        <f t="shared" si="8"/>
        <v>0.9999999999999991</v>
      </c>
      <c r="AP9" s="184">
        <f t="shared" si="8"/>
        <v>0</v>
      </c>
      <c r="AQ9" s="183">
        <f t="shared" si="8"/>
        <v>0</v>
      </c>
      <c r="AR9" s="183">
        <f t="shared" si="8"/>
        <v>0</v>
      </c>
      <c r="AS9" s="183">
        <f t="shared" si="8"/>
        <v>0</v>
      </c>
      <c r="AT9" s="185">
        <f>SUM(AJ9:AS9)</f>
        <v>7.249999999999999</v>
      </c>
      <c r="AU9" s="182">
        <f aca="true" t="shared" si="9" ref="AU9:BD9">(AU8-AU7)*24</f>
        <v>0.9999999999999991</v>
      </c>
      <c r="AV9" s="183">
        <f t="shared" si="9"/>
        <v>1.7500000000000004</v>
      </c>
      <c r="AW9" s="183">
        <f t="shared" si="9"/>
        <v>1.583333333333333</v>
      </c>
      <c r="AX9" s="183">
        <f t="shared" si="9"/>
        <v>0.9999999999999991</v>
      </c>
      <c r="AY9" s="183">
        <f t="shared" si="9"/>
        <v>0.9166666666666687</v>
      </c>
      <c r="AZ9" s="183">
        <f t="shared" si="9"/>
        <v>0.9999999999999991</v>
      </c>
      <c r="BA9" s="184">
        <f t="shared" si="9"/>
        <v>0</v>
      </c>
      <c r="BB9" s="183">
        <f t="shared" si="9"/>
        <v>0</v>
      </c>
      <c r="BC9" s="183">
        <f t="shared" si="9"/>
        <v>0</v>
      </c>
      <c r="BD9" s="183">
        <f t="shared" si="9"/>
        <v>0</v>
      </c>
      <c r="BE9" s="185">
        <f>SUM(AU9:BD9)</f>
        <v>7.249999999999999</v>
      </c>
      <c r="BF9" s="221"/>
      <c r="BG9" s="222"/>
      <c r="BH9" s="187">
        <f>AVERAGE(M9,X9,AI9,AT9,BE9)</f>
        <v>7.249999999999998</v>
      </c>
      <c r="BI9"/>
      <c r="BJ9"/>
    </row>
    <row r="10" spans="1:62" s="8" customFormat="1" ht="25.5" customHeight="1">
      <c r="A10" s="84" t="s">
        <v>192</v>
      </c>
      <c r="B10" s="84"/>
      <c r="C10" s="85">
        <f>Nachfrage!C13</f>
        <v>4</v>
      </c>
      <c r="D10" s="86">
        <f>Nachfrage!D13</f>
        <v>12</v>
      </c>
      <c r="E10" s="86">
        <f>Nachfrage!E13</f>
        <v>3</v>
      </c>
      <c r="F10" s="86">
        <f>Nachfrage!F13</f>
        <v>14</v>
      </c>
      <c r="G10" s="86">
        <f>Nachfrage!G13</f>
        <v>14</v>
      </c>
      <c r="H10" s="86">
        <f>Nachfrage!H13</f>
        <v>9</v>
      </c>
      <c r="I10" s="87">
        <f>Nachfrage!I13</f>
        <v>0</v>
      </c>
      <c r="J10" s="87">
        <f>Nachfrage!J13</f>
        <v>0</v>
      </c>
      <c r="K10" s="87">
        <f>Nachfrage!K13</f>
        <v>0</v>
      </c>
      <c r="L10" s="87">
        <f>Nachfrage!L13</f>
        <v>0</v>
      </c>
      <c r="M10" s="120"/>
      <c r="N10" s="121">
        <f>Nachfrage!N13</f>
        <v>6</v>
      </c>
      <c r="O10" s="122">
        <f>Nachfrage!O13</f>
        <v>16</v>
      </c>
      <c r="P10" s="122">
        <f>Nachfrage!P13</f>
        <v>5</v>
      </c>
      <c r="Q10" s="122">
        <f>Nachfrage!Q13</f>
        <v>14</v>
      </c>
      <c r="R10" s="122">
        <f>Nachfrage!R13</f>
        <v>14</v>
      </c>
      <c r="S10" s="122">
        <f>Nachfrage!S13</f>
        <v>8</v>
      </c>
      <c r="T10" s="122">
        <f>Nachfrage!T13</f>
        <v>0</v>
      </c>
      <c r="U10" s="122">
        <f>Nachfrage!U13</f>
        <v>0</v>
      </c>
      <c r="V10" s="122">
        <f>Nachfrage!V13</f>
        <v>0</v>
      </c>
      <c r="W10" s="123">
        <f>Nachfrage!W13</f>
        <v>0</v>
      </c>
      <c r="X10" s="120"/>
      <c r="Y10" s="121">
        <f>Nachfrage!Y13</f>
        <v>4</v>
      </c>
      <c r="Z10" s="122">
        <f>Nachfrage!Z13</f>
        <v>5</v>
      </c>
      <c r="AA10" s="122">
        <f>Nachfrage!AA13</f>
        <v>1</v>
      </c>
      <c r="AB10" s="122">
        <f>Nachfrage!AB13</f>
        <v>5</v>
      </c>
      <c r="AC10" s="122">
        <f>Nachfrage!AC13</f>
        <v>5</v>
      </c>
      <c r="AD10" s="122">
        <f>Nachfrage!AD13</f>
        <v>3</v>
      </c>
      <c r="AE10" s="122">
        <f>Nachfrage!AE13</f>
        <v>0</v>
      </c>
      <c r="AF10" s="122">
        <f>Nachfrage!AF13</f>
        <v>0</v>
      </c>
      <c r="AG10" s="122">
        <f>Nachfrage!AG13</f>
        <v>0</v>
      </c>
      <c r="AH10" s="122">
        <f>Nachfrage!AH13</f>
        <v>0</v>
      </c>
      <c r="AI10" s="120"/>
      <c r="AJ10" s="121">
        <f>Nachfrage!AJ13</f>
        <v>3</v>
      </c>
      <c r="AK10" s="122">
        <f>Nachfrage!AK13</f>
        <v>11</v>
      </c>
      <c r="AL10" s="122">
        <f>Nachfrage!AL13</f>
        <v>2</v>
      </c>
      <c r="AM10" s="122">
        <f>Nachfrage!AM13</f>
        <v>10</v>
      </c>
      <c r="AN10" s="122">
        <f>Nachfrage!AN13</f>
        <v>10</v>
      </c>
      <c r="AO10" s="122">
        <f>Nachfrage!AO13</f>
        <v>6</v>
      </c>
      <c r="AP10" s="122">
        <f>Nachfrage!AP13</f>
        <v>0</v>
      </c>
      <c r="AQ10" s="122">
        <f>Nachfrage!AQ13</f>
        <v>0</v>
      </c>
      <c r="AR10" s="122">
        <f>Nachfrage!AR13</f>
        <v>0</v>
      </c>
      <c r="AS10" s="122">
        <f>Nachfrage!AS13</f>
        <v>0</v>
      </c>
      <c r="AT10" s="120"/>
      <c r="AU10" s="121"/>
      <c r="AV10" s="122">
        <f>Nachfrage!AV13</f>
        <v>7</v>
      </c>
      <c r="AW10" s="122"/>
      <c r="AX10" s="122"/>
      <c r="AY10" s="122"/>
      <c r="AZ10" s="122"/>
      <c r="BA10" s="122">
        <f>Nachfrage!BA13</f>
        <v>0</v>
      </c>
      <c r="BB10" s="122">
        <f>Nachfrage!BB13</f>
        <v>0</v>
      </c>
      <c r="BC10" s="122">
        <f>Nachfrage!BC13</f>
        <v>0</v>
      </c>
      <c r="BD10" s="123">
        <f>Nachfrage!BD13</f>
        <v>0</v>
      </c>
      <c r="BE10" s="76"/>
      <c r="BF10" s="134"/>
      <c r="BG10" s="155"/>
      <c r="BH10" s="135"/>
      <c r="BI10"/>
      <c r="BJ10"/>
    </row>
    <row r="11" spans="1:62" s="97" customFormat="1" ht="19.5" customHeight="1">
      <c r="A11" s="80" t="s">
        <v>75</v>
      </c>
      <c r="B11" s="107" t="s">
        <v>86</v>
      </c>
      <c r="C11" s="93"/>
      <c r="D11" s="94"/>
      <c r="E11" s="94"/>
      <c r="F11" s="94"/>
      <c r="G11" s="94"/>
      <c r="H11" s="94"/>
      <c r="I11" s="94"/>
      <c r="J11" s="94"/>
      <c r="K11" s="94"/>
      <c r="L11" s="95"/>
      <c r="M11" s="96"/>
      <c r="N11" s="93"/>
      <c r="O11" s="94"/>
      <c r="P11" s="94"/>
      <c r="Q11" s="94"/>
      <c r="R11" s="94"/>
      <c r="S11" s="94"/>
      <c r="T11" s="94"/>
      <c r="U11" s="94"/>
      <c r="V11" s="94"/>
      <c r="W11" s="95"/>
      <c r="X11" s="96"/>
      <c r="Y11" s="93"/>
      <c r="Z11" s="94"/>
      <c r="AA11" s="94"/>
      <c r="AB11" s="94"/>
      <c r="AC11" s="94"/>
      <c r="AD11" s="94"/>
      <c r="AE11" s="94"/>
      <c r="AF11" s="94"/>
      <c r="AG11" s="94"/>
      <c r="AH11" s="95"/>
      <c r="AI11" s="96"/>
      <c r="AJ11" s="93"/>
      <c r="AK11" s="94"/>
      <c r="AL11" s="94"/>
      <c r="AM11" s="94"/>
      <c r="AN11" s="94"/>
      <c r="AO11" s="94"/>
      <c r="AP11" s="94"/>
      <c r="AQ11" s="94"/>
      <c r="AR11" s="94"/>
      <c r="AS11" s="95"/>
      <c r="AT11" s="96"/>
      <c r="AU11" s="93"/>
      <c r="AV11" s="94"/>
      <c r="AW11" s="94"/>
      <c r="AX11" s="94"/>
      <c r="AY11" s="94"/>
      <c r="AZ11" s="94"/>
      <c r="BA11" s="94"/>
      <c r="BB11" s="94"/>
      <c r="BC11" s="94"/>
      <c r="BD11" s="95"/>
      <c r="BE11" s="96"/>
      <c r="BF11" s="93" t="s">
        <v>109</v>
      </c>
      <c r="BG11" s="94" t="s">
        <v>110</v>
      </c>
      <c r="BH11" s="95" t="s">
        <v>3</v>
      </c>
      <c r="BI11"/>
      <c r="BJ11"/>
    </row>
    <row r="12" spans="1:62" s="97" customFormat="1" ht="19.5" customHeight="1">
      <c r="A12" s="81" t="s">
        <v>118</v>
      </c>
      <c r="B12" s="207" t="s">
        <v>52</v>
      </c>
      <c r="C12" s="176">
        <v>1</v>
      </c>
      <c r="D12" s="177">
        <v>1</v>
      </c>
      <c r="E12" s="177"/>
      <c r="F12" s="177">
        <v>1</v>
      </c>
      <c r="G12" s="177">
        <v>1</v>
      </c>
      <c r="H12" s="177"/>
      <c r="I12" s="177"/>
      <c r="J12" s="177"/>
      <c r="K12" s="177"/>
      <c r="L12" s="178"/>
      <c r="M12" s="188">
        <f aca="true" t="shared" si="10" ref="M12:M17">C12*C$9+D12*D$9+E$9*E12+F12*F$9+G12*G$9+H12*H$9+I12*I$9+J12*J$9+K12*K$9+L12*L$9</f>
        <v>4.666666666666668</v>
      </c>
      <c r="N12" s="176">
        <v>1</v>
      </c>
      <c r="O12" s="177">
        <v>1</v>
      </c>
      <c r="P12" s="177"/>
      <c r="Q12" s="177">
        <v>1</v>
      </c>
      <c r="R12" s="177">
        <v>1</v>
      </c>
      <c r="S12" s="177">
        <v>1</v>
      </c>
      <c r="T12" s="177"/>
      <c r="U12" s="177"/>
      <c r="V12" s="177"/>
      <c r="W12" s="178"/>
      <c r="X12" s="188">
        <f aca="true" t="shared" si="11" ref="X12:X17">N12*N$9+O12*O$9+P$9*P12+Q12*Q$9+R12*R$9+S12*S$9+T12*T$9+U12*U$9+V12*V$9+W12*W$9</f>
        <v>5.666666666666667</v>
      </c>
      <c r="Y12" s="176">
        <v>1</v>
      </c>
      <c r="Z12" s="177">
        <v>1</v>
      </c>
      <c r="AA12" s="177">
        <v>1</v>
      </c>
      <c r="AB12" s="177">
        <v>1</v>
      </c>
      <c r="AC12" s="177">
        <v>1</v>
      </c>
      <c r="AD12" s="177">
        <v>1</v>
      </c>
      <c r="AE12" s="177"/>
      <c r="AF12" s="177"/>
      <c r="AG12" s="177"/>
      <c r="AH12" s="178"/>
      <c r="AI12" s="188">
        <f aca="true" t="shared" si="12" ref="AI12:AI17">Y12*Y$9+Z12*Z$9+AA$9*AA12+AB12*AB$9+AC12*AC$9+AD12*AD$9+AE12*AE$9+AF12*AF$9+AG12*AG$9+AH12*AH$9</f>
        <v>7.249999999999999</v>
      </c>
      <c r="AJ12" s="176">
        <v>1</v>
      </c>
      <c r="AK12" s="177">
        <v>1</v>
      </c>
      <c r="AL12" s="177"/>
      <c r="AM12" s="177">
        <v>1</v>
      </c>
      <c r="AN12" s="177">
        <v>1</v>
      </c>
      <c r="AO12" s="177">
        <v>1</v>
      </c>
      <c r="AP12" s="177"/>
      <c r="AQ12" s="177"/>
      <c r="AR12" s="177"/>
      <c r="AS12" s="178"/>
      <c r="AT12" s="188">
        <f aca="true" t="shared" si="13" ref="AT12:AT17">AJ12*AJ$9+AK12*AK$9+AL$9*AL12+AM12*AM$9+AN12*AN$9+AO12*AO$9+AP12*AP$9+AQ12*AQ$9+AR12*AR$9+AS12*AS$9</f>
        <v>5.666666666666667</v>
      </c>
      <c r="AU12" s="176"/>
      <c r="AV12" s="177">
        <v>1</v>
      </c>
      <c r="AW12" s="177"/>
      <c r="AX12" s="177"/>
      <c r="AY12" s="177"/>
      <c r="AZ12" s="177"/>
      <c r="BA12" s="177"/>
      <c r="BB12" s="177"/>
      <c r="BC12" s="177"/>
      <c r="BD12" s="178"/>
      <c r="BE12" s="188">
        <f aca="true" t="shared" si="14" ref="BE12:BE17">AU12*AU$9+AV12*AV$9+AW$9*AW12+AX12*AX$9+AY12*AY$9+AZ12*AZ$9+BA12*BA$9+BB12*BB$9+BC12*BC$9+BD12*BD$9</f>
        <v>1.7500000000000004</v>
      </c>
      <c r="BF12" s="190">
        <f aca="true" t="shared" si="15" ref="BF12:BF17">IF(B12="N",0,IF(B12="A",BH12,"Bitte Qualifikation in der Spalte B eintragen"))</f>
        <v>25.000000000000004</v>
      </c>
      <c r="BG12" s="191">
        <f aca="true" t="shared" si="16" ref="BG12:BG17">IF(B12="A",0,IF(B12="N",BH12,"Bitte Qualifikation in der Spalte B eintragen"))</f>
        <v>0</v>
      </c>
      <c r="BH12" s="192">
        <f aca="true" t="shared" si="17" ref="BH12:BH17">M12+X12+AI12+AT12+BE12</f>
        <v>25.000000000000004</v>
      </c>
      <c r="BI12"/>
      <c r="BJ12"/>
    </row>
    <row r="13" spans="1:62" s="97" customFormat="1" ht="19.5" customHeight="1">
      <c r="A13" s="81" t="s">
        <v>141</v>
      </c>
      <c r="B13" s="207" t="s">
        <v>52</v>
      </c>
      <c r="C13" s="176"/>
      <c r="D13" s="177"/>
      <c r="E13" s="177"/>
      <c r="F13" s="177"/>
      <c r="G13" s="177"/>
      <c r="H13" s="177"/>
      <c r="I13" s="177"/>
      <c r="J13" s="177"/>
      <c r="K13" s="177"/>
      <c r="L13" s="178"/>
      <c r="M13" s="188">
        <f>C13*C$9+D13*D$9+E$9*E13+F13*F$9+G13*G$9+H13*H$9+I13*I$9+J13*J$9+K13*K$9+L13*L$9</f>
        <v>0</v>
      </c>
      <c r="N13" s="176"/>
      <c r="O13" s="177"/>
      <c r="P13" s="177"/>
      <c r="Q13" s="177"/>
      <c r="R13" s="177"/>
      <c r="S13" s="177"/>
      <c r="T13" s="177"/>
      <c r="U13" s="177"/>
      <c r="V13" s="177"/>
      <c r="W13" s="178"/>
      <c r="X13" s="188">
        <f t="shared" si="11"/>
        <v>0</v>
      </c>
      <c r="Y13" s="176"/>
      <c r="Z13" s="177"/>
      <c r="AA13" s="177"/>
      <c r="AB13" s="177"/>
      <c r="AC13" s="177"/>
      <c r="AD13" s="177"/>
      <c r="AE13" s="177"/>
      <c r="AF13" s="177"/>
      <c r="AG13" s="177"/>
      <c r="AH13" s="178"/>
      <c r="AI13" s="188">
        <f t="shared" si="12"/>
        <v>0</v>
      </c>
      <c r="AJ13" s="176"/>
      <c r="AK13" s="177"/>
      <c r="AL13" s="177"/>
      <c r="AM13" s="177"/>
      <c r="AN13" s="177"/>
      <c r="AO13" s="177"/>
      <c r="AP13" s="177"/>
      <c r="AQ13" s="177"/>
      <c r="AR13" s="177"/>
      <c r="AS13" s="178"/>
      <c r="AT13" s="188">
        <f t="shared" si="13"/>
        <v>0</v>
      </c>
      <c r="AU13" s="176"/>
      <c r="AV13" s="177"/>
      <c r="AW13" s="177"/>
      <c r="AX13" s="177"/>
      <c r="AY13" s="177"/>
      <c r="AZ13" s="177"/>
      <c r="BA13" s="177"/>
      <c r="BB13" s="177"/>
      <c r="BC13" s="177"/>
      <c r="BD13" s="178"/>
      <c r="BE13" s="188">
        <f t="shared" si="14"/>
        <v>0</v>
      </c>
      <c r="BF13" s="190">
        <f t="shared" si="15"/>
        <v>0</v>
      </c>
      <c r="BG13" s="191">
        <f t="shared" si="16"/>
        <v>0</v>
      </c>
      <c r="BH13" s="192">
        <f t="shared" si="17"/>
        <v>0</v>
      </c>
      <c r="BI13"/>
      <c r="BJ13"/>
    </row>
    <row r="14" spans="1:62" s="97" customFormat="1" ht="19.5" customHeight="1">
      <c r="A14" s="81" t="s">
        <v>72</v>
      </c>
      <c r="B14" s="207" t="s">
        <v>53</v>
      </c>
      <c r="C14" s="176"/>
      <c r="D14" s="177">
        <v>1</v>
      </c>
      <c r="E14" s="177">
        <v>1</v>
      </c>
      <c r="F14" s="177">
        <v>1</v>
      </c>
      <c r="G14" s="177">
        <v>1</v>
      </c>
      <c r="H14" s="177">
        <v>1</v>
      </c>
      <c r="I14" s="177"/>
      <c r="J14" s="177"/>
      <c r="K14" s="177"/>
      <c r="L14" s="178"/>
      <c r="M14" s="188">
        <f>C14*C$9+D14*D$9+E$9*E14+F14*F$9+G14*G$9+H14*H$9+I14*I$9+J14*J$9+K14*K$9+L14*L$9</f>
        <v>6.25</v>
      </c>
      <c r="N14" s="176"/>
      <c r="O14" s="177">
        <v>1</v>
      </c>
      <c r="P14" s="177">
        <v>1</v>
      </c>
      <c r="Q14" s="177">
        <v>1</v>
      </c>
      <c r="R14" s="177">
        <v>1</v>
      </c>
      <c r="S14" s="177"/>
      <c r="T14" s="177"/>
      <c r="U14" s="177"/>
      <c r="V14" s="177"/>
      <c r="W14" s="178"/>
      <c r="X14" s="188">
        <f t="shared" si="11"/>
        <v>5.250000000000001</v>
      </c>
      <c r="Y14" s="176"/>
      <c r="Z14" s="177"/>
      <c r="AA14" s="177"/>
      <c r="AB14" s="177"/>
      <c r="AC14" s="177"/>
      <c r="AD14" s="177"/>
      <c r="AE14" s="177"/>
      <c r="AF14" s="177"/>
      <c r="AG14" s="177"/>
      <c r="AH14" s="178"/>
      <c r="AI14" s="188">
        <f t="shared" si="12"/>
        <v>0</v>
      </c>
      <c r="AJ14" s="176"/>
      <c r="AK14" s="177">
        <v>1</v>
      </c>
      <c r="AL14" s="177">
        <v>1</v>
      </c>
      <c r="AM14" s="177"/>
      <c r="AN14" s="177"/>
      <c r="AO14" s="177"/>
      <c r="AP14" s="177"/>
      <c r="AQ14" s="177"/>
      <c r="AR14" s="177"/>
      <c r="AS14" s="178"/>
      <c r="AT14" s="188">
        <f t="shared" si="13"/>
        <v>3.3333333333333335</v>
      </c>
      <c r="AU14" s="176"/>
      <c r="AV14" s="177"/>
      <c r="AW14" s="177"/>
      <c r="AX14" s="177"/>
      <c r="AY14" s="177"/>
      <c r="AZ14" s="177"/>
      <c r="BA14" s="177"/>
      <c r="BB14" s="177"/>
      <c r="BC14" s="177"/>
      <c r="BD14" s="178"/>
      <c r="BE14" s="188">
        <f t="shared" si="14"/>
        <v>0</v>
      </c>
      <c r="BF14" s="190">
        <f t="shared" si="15"/>
        <v>0</v>
      </c>
      <c r="BG14" s="191">
        <f t="shared" si="16"/>
        <v>14.833333333333334</v>
      </c>
      <c r="BH14" s="192">
        <f t="shared" si="17"/>
        <v>14.833333333333334</v>
      </c>
      <c r="BI14"/>
      <c r="BJ14"/>
    </row>
    <row r="15" spans="1:62" s="97" customFormat="1" ht="19.5" customHeight="1">
      <c r="A15" s="81" t="s">
        <v>111</v>
      </c>
      <c r="B15" s="207" t="s">
        <v>53</v>
      </c>
      <c r="C15" s="176"/>
      <c r="D15" s="177"/>
      <c r="E15" s="177"/>
      <c r="F15" s="177"/>
      <c r="G15" s="177"/>
      <c r="H15" s="177"/>
      <c r="I15" s="177"/>
      <c r="J15" s="177"/>
      <c r="K15" s="177"/>
      <c r="L15" s="178"/>
      <c r="M15" s="188">
        <f t="shared" si="10"/>
        <v>0</v>
      </c>
      <c r="N15" s="176"/>
      <c r="O15" s="177"/>
      <c r="P15" s="177"/>
      <c r="Q15" s="177"/>
      <c r="R15" s="177"/>
      <c r="S15" s="177"/>
      <c r="T15" s="177"/>
      <c r="U15" s="177"/>
      <c r="V15" s="177"/>
      <c r="W15" s="178"/>
      <c r="X15" s="188">
        <f t="shared" si="11"/>
        <v>0</v>
      </c>
      <c r="Y15" s="176"/>
      <c r="Z15" s="177"/>
      <c r="AA15" s="177"/>
      <c r="AB15" s="177"/>
      <c r="AC15" s="177"/>
      <c r="AD15" s="177"/>
      <c r="AE15" s="177"/>
      <c r="AF15" s="177"/>
      <c r="AG15" s="177"/>
      <c r="AH15" s="178"/>
      <c r="AI15" s="188">
        <f t="shared" si="12"/>
        <v>0</v>
      </c>
      <c r="AJ15" s="176"/>
      <c r="AK15" s="177"/>
      <c r="AL15" s="177"/>
      <c r="AM15" s="177"/>
      <c r="AN15" s="177"/>
      <c r="AO15" s="177"/>
      <c r="AP15" s="177"/>
      <c r="AQ15" s="177"/>
      <c r="AR15" s="177"/>
      <c r="AS15" s="178"/>
      <c r="AT15" s="188">
        <f t="shared" si="13"/>
        <v>0</v>
      </c>
      <c r="AU15" s="176"/>
      <c r="AV15" s="177"/>
      <c r="AW15" s="177"/>
      <c r="AX15" s="177"/>
      <c r="AY15" s="177"/>
      <c r="AZ15" s="177"/>
      <c r="BA15" s="177"/>
      <c r="BB15" s="177"/>
      <c r="BC15" s="177"/>
      <c r="BD15" s="178"/>
      <c r="BE15" s="188">
        <f t="shared" si="14"/>
        <v>0</v>
      </c>
      <c r="BF15" s="190">
        <f t="shared" si="15"/>
        <v>0</v>
      </c>
      <c r="BG15" s="191">
        <f t="shared" si="16"/>
        <v>0</v>
      </c>
      <c r="BH15" s="192">
        <f t="shared" si="17"/>
        <v>0</v>
      </c>
      <c r="BI15"/>
      <c r="BJ15"/>
    </row>
    <row r="16" spans="1:62" s="97" customFormat="1" ht="19.5" customHeight="1">
      <c r="A16" s="81" t="s">
        <v>112</v>
      </c>
      <c r="B16" s="207" t="s">
        <v>53</v>
      </c>
      <c r="C16" s="176"/>
      <c r="D16" s="177"/>
      <c r="E16" s="177"/>
      <c r="F16" s="177"/>
      <c r="G16" s="177"/>
      <c r="H16" s="177"/>
      <c r="I16" s="177"/>
      <c r="J16" s="177"/>
      <c r="K16" s="177"/>
      <c r="L16" s="178"/>
      <c r="M16" s="188">
        <f t="shared" si="10"/>
        <v>0</v>
      </c>
      <c r="N16" s="176"/>
      <c r="O16" s="177"/>
      <c r="P16" s="177"/>
      <c r="Q16" s="177"/>
      <c r="R16" s="177"/>
      <c r="S16" s="177"/>
      <c r="T16" s="177"/>
      <c r="U16" s="177"/>
      <c r="V16" s="177"/>
      <c r="W16" s="178"/>
      <c r="X16" s="188">
        <f t="shared" si="11"/>
        <v>0</v>
      </c>
      <c r="Y16" s="176"/>
      <c r="Z16" s="177"/>
      <c r="AA16" s="177"/>
      <c r="AB16" s="177"/>
      <c r="AC16" s="177"/>
      <c r="AD16" s="177"/>
      <c r="AE16" s="177"/>
      <c r="AF16" s="177"/>
      <c r="AG16" s="177"/>
      <c r="AH16" s="178"/>
      <c r="AI16" s="188">
        <f t="shared" si="12"/>
        <v>0</v>
      </c>
      <c r="AJ16" s="176"/>
      <c r="AK16" s="177"/>
      <c r="AL16" s="177"/>
      <c r="AM16" s="177"/>
      <c r="AN16" s="177"/>
      <c r="AO16" s="177"/>
      <c r="AP16" s="177"/>
      <c r="AQ16" s="177"/>
      <c r="AR16" s="177"/>
      <c r="AS16" s="178"/>
      <c r="AT16" s="188">
        <f t="shared" si="13"/>
        <v>0</v>
      </c>
      <c r="AU16" s="176"/>
      <c r="AV16" s="177"/>
      <c r="AW16" s="177"/>
      <c r="AX16" s="177"/>
      <c r="AY16" s="177"/>
      <c r="AZ16" s="177"/>
      <c r="BA16" s="177"/>
      <c r="BB16" s="177"/>
      <c r="BC16" s="177"/>
      <c r="BD16" s="178"/>
      <c r="BE16" s="188">
        <f t="shared" si="14"/>
        <v>0</v>
      </c>
      <c r="BF16" s="190">
        <f t="shared" si="15"/>
        <v>0</v>
      </c>
      <c r="BG16" s="191">
        <f t="shared" si="16"/>
        <v>0</v>
      </c>
      <c r="BH16" s="192">
        <f t="shared" si="17"/>
        <v>0</v>
      </c>
      <c r="BI16"/>
      <c r="BJ16"/>
    </row>
    <row r="17" spans="1:62" s="97" customFormat="1" ht="19.5" customHeight="1">
      <c r="A17" s="82" t="s">
        <v>113</v>
      </c>
      <c r="B17" s="208" t="s">
        <v>53</v>
      </c>
      <c r="C17" s="179"/>
      <c r="D17" s="180"/>
      <c r="E17" s="180"/>
      <c r="F17" s="180"/>
      <c r="G17" s="180"/>
      <c r="H17" s="180"/>
      <c r="I17" s="180"/>
      <c r="J17" s="180"/>
      <c r="K17" s="180"/>
      <c r="L17" s="181"/>
      <c r="M17" s="189">
        <f t="shared" si="10"/>
        <v>0</v>
      </c>
      <c r="N17" s="179"/>
      <c r="O17" s="180"/>
      <c r="P17" s="180"/>
      <c r="Q17" s="180"/>
      <c r="R17" s="180"/>
      <c r="S17" s="180"/>
      <c r="T17" s="180"/>
      <c r="U17" s="180"/>
      <c r="V17" s="180"/>
      <c r="W17" s="181"/>
      <c r="X17" s="189">
        <f t="shared" si="11"/>
        <v>0</v>
      </c>
      <c r="Y17" s="179"/>
      <c r="Z17" s="180"/>
      <c r="AA17" s="180"/>
      <c r="AB17" s="180"/>
      <c r="AC17" s="180"/>
      <c r="AD17" s="180"/>
      <c r="AE17" s="180"/>
      <c r="AF17" s="180"/>
      <c r="AG17" s="180"/>
      <c r="AH17" s="181"/>
      <c r="AI17" s="189">
        <f t="shared" si="12"/>
        <v>0</v>
      </c>
      <c r="AJ17" s="179"/>
      <c r="AK17" s="180"/>
      <c r="AL17" s="180"/>
      <c r="AM17" s="180"/>
      <c r="AN17" s="180"/>
      <c r="AO17" s="180"/>
      <c r="AP17" s="180"/>
      <c r="AQ17" s="180"/>
      <c r="AR17" s="180"/>
      <c r="AS17" s="181"/>
      <c r="AT17" s="189">
        <f t="shared" si="13"/>
        <v>0</v>
      </c>
      <c r="AU17" s="179"/>
      <c r="AV17" s="180"/>
      <c r="AW17" s="180"/>
      <c r="AX17" s="180"/>
      <c r="AY17" s="180"/>
      <c r="AZ17" s="180"/>
      <c r="BA17" s="180"/>
      <c r="BB17" s="180"/>
      <c r="BC17" s="180"/>
      <c r="BD17" s="181"/>
      <c r="BE17" s="189">
        <f t="shared" si="14"/>
        <v>0</v>
      </c>
      <c r="BF17" s="193">
        <f t="shared" si="15"/>
        <v>0</v>
      </c>
      <c r="BG17" s="194">
        <f t="shared" si="16"/>
        <v>0</v>
      </c>
      <c r="BH17" s="195">
        <f t="shared" si="17"/>
        <v>0</v>
      </c>
      <c r="BI17"/>
      <c r="BJ17"/>
    </row>
    <row r="18" spans="1:62" s="213" customFormat="1" ht="19.5" customHeight="1">
      <c r="A18" s="80" t="s">
        <v>63</v>
      </c>
      <c r="B18" s="107"/>
      <c r="C18" s="209"/>
      <c r="D18" s="210"/>
      <c r="E18" s="210"/>
      <c r="F18" s="210"/>
      <c r="G18" s="210"/>
      <c r="H18" s="210"/>
      <c r="I18" s="210"/>
      <c r="J18" s="210"/>
      <c r="K18" s="210"/>
      <c r="L18" s="211"/>
      <c r="M18" s="214"/>
      <c r="N18" s="209"/>
      <c r="O18" s="210"/>
      <c r="P18" s="210"/>
      <c r="Q18" s="210"/>
      <c r="R18" s="210"/>
      <c r="S18" s="210"/>
      <c r="T18" s="210"/>
      <c r="U18" s="210"/>
      <c r="V18" s="210"/>
      <c r="W18" s="211"/>
      <c r="X18" s="214"/>
      <c r="Y18" s="209"/>
      <c r="Z18" s="210"/>
      <c r="AA18" s="210"/>
      <c r="AB18" s="210"/>
      <c r="AC18" s="210"/>
      <c r="AD18" s="210"/>
      <c r="AE18" s="210"/>
      <c r="AF18" s="210"/>
      <c r="AG18" s="210"/>
      <c r="AH18" s="211"/>
      <c r="AI18" s="214"/>
      <c r="AJ18" s="209"/>
      <c r="AK18" s="210"/>
      <c r="AL18" s="210"/>
      <c r="AM18" s="210"/>
      <c r="AN18" s="210"/>
      <c r="AO18" s="210"/>
      <c r="AP18" s="210"/>
      <c r="AQ18" s="210"/>
      <c r="AR18" s="210"/>
      <c r="AS18" s="211"/>
      <c r="AT18" s="214"/>
      <c r="AU18" s="209"/>
      <c r="AV18" s="210"/>
      <c r="AW18" s="210"/>
      <c r="AX18" s="210"/>
      <c r="AY18" s="210"/>
      <c r="AZ18" s="210"/>
      <c r="BA18" s="210"/>
      <c r="BB18" s="210"/>
      <c r="BC18" s="210"/>
      <c r="BD18" s="211"/>
      <c r="BE18" s="214"/>
      <c r="BF18" s="209"/>
      <c r="BG18" s="210"/>
      <c r="BH18" s="211"/>
      <c r="BI18" s="212"/>
      <c r="BJ18" s="212"/>
    </row>
    <row r="19" spans="1:63" s="54" customFormat="1" ht="19.5" customHeight="1">
      <c r="A19" s="81" t="s">
        <v>16</v>
      </c>
      <c r="B19" s="108"/>
      <c r="C19" s="99"/>
      <c r="D19" s="100"/>
      <c r="E19" s="100"/>
      <c r="F19" s="100"/>
      <c r="G19" s="100"/>
      <c r="H19" s="100"/>
      <c r="I19" s="101"/>
      <c r="J19" s="101"/>
      <c r="K19" s="101"/>
      <c r="L19" s="102"/>
      <c r="M19" s="188">
        <f>SUM(M12:M17)</f>
        <v>10.916666666666668</v>
      </c>
      <c r="N19" s="99"/>
      <c r="O19" s="100"/>
      <c r="P19" s="100"/>
      <c r="Q19" s="100"/>
      <c r="R19" s="100"/>
      <c r="S19" s="100"/>
      <c r="T19" s="101"/>
      <c r="U19" s="101"/>
      <c r="V19" s="101"/>
      <c r="W19" s="102"/>
      <c r="X19" s="188">
        <f>SUM(X12:X17)</f>
        <v>10.916666666666668</v>
      </c>
      <c r="Y19" s="99"/>
      <c r="Z19" s="100"/>
      <c r="AA19" s="100"/>
      <c r="AB19" s="100"/>
      <c r="AC19" s="100"/>
      <c r="AD19" s="100"/>
      <c r="AE19" s="101"/>
      <c r="AF19" s="101"/>
      <c r="AG19" s="101"/>
      <c r="AH19" s="102"/>
      <c r="AI19" s="188">
        <f>SUM(AI12:AI17)</f>
        <v>7.249999999999999</v>
      </c>
      <c r="AJ19" s="99"/>
      <c r="AK19" s="100"/>
      <c r="AL19" s="100"/>
      <c r="AM19" s="100"/>
      <c r="AN19" s="100"/>
      <c r="AO19" s="100"/>
      <c r="AP19" s="101"/>
      <c r="AQ19" s="101"/>
      <c r="AR19" s="101"/>
      <c r="AS19" s="102"/>
      <c r="AT19" s="188">
        <f>SUM(AT12:AT17)</f>
        <v>9</v>
      </c>
      <c r="AU19" s="99"/>
      <c r="AV19" s="100"/>
      <c r="AW19" s="100"/>
      <c r="AX19" s="100"/>
      <c r="AY19" s="100"/>
      <c r="AZ19" s="100"/>
      <c r="BA19" s="101"/>
      <c r="BB19" s="101"/>
      <c r="BC19" s="101"/>
      <c r="BD19" s="102"/>
      <c r="BE19" s="188">
        <f>SUM(BE12:BE17)</f>
        <v>1.7500000000000004</v>
      </c>
      <c r="BF19" s="190">
        <f>SUM(BF12:BF17)</f>
        <v>25.000000000000004</v>
      </c>
      <c r="BG19" s="191">
        <f>SUM(BG12:BG17)</f>
        <v>14.833333333333334</v>
      </c>
      <c r="BH19" s="192">
        <f>SUM(BH12:BH17)</f>
        <v>39.833333333333336</v>
      </c>
      <c r="BI19"/>
      <c r="BJ19"/>
      <c r="BK19" s="129"/>
    </row>
    <row r="20" spans="1:63" s="147" customFormat="1" ht="30" customHeight="1">
      <c r="A20" s="139" t="s">
        <v>31</v>
      </c>
      <c r="B20" s="140"/>
      <c r="C20" s="141"/>
      <c r="D20" s="142"/>
      <c r="E20" s="142"/>
      <c r="F20" s="142"/>
      <c r="G20" s="142"/>
      <c r="H20" s="142"/>
      <c r="I20" s="143"/>
      <c r="J20" s="143"/>
      <c r="K20" s="143"/>
      <c r="L20" s="144"/>
      <c r="M20" s="215"/>
      <c r="N20" s="216"/>
      <c r="O20" s="217"/>
      <c r="P20" s="217"/>
      <c r="Q20" s="217"/>
      <c r="R20" s="217"/>
      <c r="S20" s="217"/>
      <c r="T20" s="218"/>
      <c r="U20" s="218"/>
      <c r="V20" s="218"/>
      <c r="W20" s="219"/>
      <c r="X20" s="215"/>
      <c r="Y20" s="216"/>
      <c r="Z20" s="217"/>
      <c r="AA20" s="217"/>
      <c r="AB20" s="217"/>
      <c r="AC20" s="217"/>
      <c r="AD20" s="217"/>
      <c r="AE20" s="218"/>
      <c r="AF20" s="218"/>
      <c r="AG20" s="218"/>
      <c r="AH20" s="219"/>
      <c r="AI20" s="215"/>
      <c r="AJ20" s="216"/>
      <c r="AK20" s="217"/>
      <c r="AL20" s="217"/>
      <c r="AM20" s="217"/>
      <c r="AN20" s="217"/>
      <c r="AO20" s="217"/>
      <c r="AP20" s="218"/>
      <c r="AQ20" s="218"/>
      <c r="AR20" s="218"/>
      <c r="AS20" s="219"/>
      <c r="AT20" s="215"/>
      <c r="AU20" s="216"/>
      <c r="AV20" s="217"/>
      <c r="AW20" s="217"/>
      <c r="AX20" s="217"/>
      <c r="AY20" s="217"/>
      <c r="AZ20" s="217"/>
      <c r="BA20" s="218"/>
      <c r="BB20" s="218"/>
      <c r="BC20" s="218"/>
      <c r="BD20" s="219"/>
      <c r="BE20" s="215"/>
      <c r="BF20" s="145"/>
      <c r="BG20" s="157"/>
      <c r="BH20" s="196">
        <f>BF19/BH19</f>
        <v>0.6276150627615064</v>
      </c>
      <c r="BI20"/>
      <c r="BJ20"/>
      <c r="BK20" s="146"/>
    </row>
    <row r="21" spans="1:62" s="54" customFormat="1" ht="19.5" customHeight="1">
      <c r="A21" s="81" t="s">
        <v>114</v>
      </c>
      <c r="B21" s="108"/>
      <c r="C21" s="200">
        <f aca="true" t="shared" si="18" ref="C21:L21">IF(C10=0,"",C10/SUM(C12:C17))</f>
        <v>4</v>
      </c>
      <c r="D21" s="201">
        <f t="shared" si="18"/>
        <v>6</v>
      </c>
      <c r="E21" s="201">
        <f t="shared" si="18"/>
        <v>3</v>
      </c>
      <c r="F21" s="201">
        <f t="shared" si="18"/>
        <v>7</v>
      </c>
      <c r="G21" s="201">
        <f t="shared" si="18"/>
        <v>7</v>
      </c>
      <c r="H21" s="201">
        <f t="shared" si="18"/>
        <v>9</v>
      </c>
      <c r="I21" s="201">
        <f t="shared" si="18"/>
      </c>
      <c r="J21" s="201">
        <f t="shared" si="18"/>
      </c>
      <c r="K21" s="201">
        <f t="shared" si="18"/>
      </c>
      <c r="L21" s="202">
        <f t="shared" si="18"/>
      </c>
      <c r="M21" s="188">
        <f>IF(M22=0,"",M22/M19)</f>
        <v>6.00763358778626</v>
      </c>
      <c r="N21" s="200">
        <f aca="true" t="shared" si="19" ref="N21:W21">IF(N10=0,"",N10/SUM(N12:N17))</f>
        <v>6</v>
      </c>
      <c r="O21" s="201">
        <f t="shared" si="19"/>
        <v>8</v>
      </c>
      <c r="P21" s="201">
        <f t="shared" si="19"/>
        <v>5</v>
      </c>
      <c r="Q21" s="201">
        <f t="shared" si="19"/>
        <v>7</v>
      </c>
      <c r="R21" s="201">
        <f t="shared" si="19"/>
        <v>7</v>
      </c>
      <c r="S21" s="201">
        <f t="shared" si="19"/>
        <v>8</v>
      </c>
      <c r="T21" s="201">
        <f t="shared" si="19"/>
      </c>
      <c r="U21" s="201">
        <f t="shared" si="19"/>
      </c>
      <c r="V21" s="201">
        <f t="shared" si="19"/>
      </c>
      <c r="W21" s="202">
        <f t="shared" si="19"/>
      </c>
      <c r="X21" s="188">
        <f>IF(X22=0,"",X22/X19)</f>
        <v>7.030534351145038</v>
      </c>
      <c r="Y21" s="200">
        <f aca="true" t="shared" si="20" ref="Y21:AH21">IF(Y10=0,"",Y10/SUM(Y12:Y17))</f>
        <v>4</v>
      </c>
      <c r="Z21" s="201">
        <f t="shared" si="20"/>
        <v>5</v>
      </c>
      <c r="AA21" s="201">
        <f t="shared" si="20"/>
        <v>1</v>
      </c>
      <c r="AB21" s="201">
        <f t="shared" si="20"/>
        <v>5</v>
      </c>
      <c r="AC21" s="201">
        <f t="shared" si="20"/>
        <v>5</v>
      </c>
      <c r="AD21" s="201">
        <f t="shared" si="20"/>
        <v>3</v>
      </c>
      <c r="AE21" s="201">
        <f t="shared" si="20"/>
      </c>
      <c r="AF21" s="201">
        <f t="shared" si="20"/>
      </c>
      <c r="AG21" s="201">
        <f t="shared" si="20"/>
      </c>
      <c r="AH21" s="202">
        <f t="shared" si="20"/>
      </c>
      <c r="AI21" s="188">
        <f>IF(AI22=0,"",AI22/AI19)</f>
        <v>3.7126436781609202</v>
      </c>
      <c r="AJ21" s="200">
        <f aca="true" t="shared" si="21" ref="AJ21:AS21">IF(AJ10=0,"",AJ10/SUM(AJ12:AJ17))</f>
        <v>3</v>
      </c>
      <c r="AK21" s="201">
        <f t="shared" si="21"/>
        <v>5.5</v>
      </c>
      <c r="AL21" s="201">
        <f t="shared" si="21"/>
        <v>2</v>
      </c>
      <c r="AM21" s="201">
        <f t="shared" si="21"/>
        <v>10</v>
      </c>
      <c r="AN21" s="201">
        <f t="shared" si="21"/>
        <v>10</v>
      </c>
      <c r="AO21" s="201">
        <f t="shared" si="21"/>
        <v>6</v>
      </c>
      <c r="AP21" s="201">
        <f t="shared" si="21"/>
      </c>
      <c r="AQ21" s="201">
        <f t="shared" si="21"/>
      </c>
      <c r="AR21" s="201">
        <f t="shared" si="21"/>
      </c>
      <c r="AS21" s="202">
        <f t="shared" si="21"/>
      </c>
      <c r="AT21" s="188">
        <f>IF(AT22=0,"",AT22/AT19)</f>
        <v>5.62037037037037</v>
      </c>
      <c r="AU21" s="200">
        <f aca="true" t="shared" si="22" ref="AU21:BD21">IF(AU10=0,"",AU10/SUM(AU12:AU17))</f>
      </c>
      <c r="AV21" s="201">
        <f t="shared" si="22"/>
        <v>7</v>
      </c>
      <c r="AW21" s="201">
        <f t="shared" si="22"/>
      </c>
      <c r="AX21" s="201">
        <f t="shared" si="22"/>
      </c>
      <c r="AY21" s="201">
        <f t="shared" si="22"/>
      </c>
      <c r="AZ21" s="201">
        <f t="shared" si="22"/>
      </c>
      <c r="BA21" s="201">
        <f t="shared" si="22"/>
      </c>
      <c r="BB21" s="201">
        <f t="shared" si="22"/>
      </c>
      <c r="BC21" s="201">
        <f t="shared" si="22"/>
      </c>
      <c r="BD21" s="202">
        <f t="shared" si="22"/>
      </c>
      <c r="BE21" s="188">
        <f>IF(BE22=0,"",BE22/BE19)</f>
        <v>7</v>
      </c>
      <c r="BF21" s="136"/>
      <c r="BG21" s="151"/>
      <c r="BH21" s="197">
        <f>BH22/BH19</f>
        <v>5.826359832635983</v>
      </c>
      <c r="BI21"/>
      <c r="BJ21"/>
    </row>
    <row r="22" spans="1:62" s="66" customFormat="1" ht="19.5" customHeight="1">
      <c r="A22" s="83" t="s">
        <v>64</v>
      </c>
      <c r="B22" s="109"/>
      <c r="C22" s="200">
        <f aca="true" t="shared" si="23" ref="C22:L22">C10*C9</f>
        <v>3.9999999999999964</v>
      </c>
      <c r="D22" s="201">
        <f t="shared" si="23"/>
        <v>21.000000000000007</v>
      </c>
      <c r="E22" s="201">
        <f t="shared" si="23"/>
        <v>4.749999999999999</v>
      </c>
      <c r="F22" s="201">
        <f t="shared" si="23"/>
        <v>13.999999999999988</v>
      </c>
      <c r="G22" s="201">
        <f t="shared" si="23"/>
        <v>12.833333333333362</v>
      </c>
      <c r="H22" s="201">
        <f t="shared" si="23"/>
        <v>8.999999999999993</v>
      </c>
      <c r="I22" s="191">
        <f t="shared" si="23"/>
        <v>0</v>
      </c>
      <c r="J22" s="191">
        <f t="shared" si="23"/>
        <v>0</v>
      </c>
      <c r="K22" s="191">
        <f t="shared" si="23"/>
        <v>0</v>
      </c>
      <c r="L22" s="191">
        <f t="shared" si="23"/>
        <v>0</v>
      </c>
      <c r="M22" s="188">
        <f>SUM(C22:L22)</f>
        <v>65.58333333333334</v>
      </c>
      <c r="N22" s="200">
        <f aca="true" t="shared" si="24" ref="N22:W22">N10*N9</f>
        <v>5.999999999999995</v>
      </c>
      <c r="O22" s="201">
        <f t="shared" si="24"/>
        <v>28.000000000000007</v>
      </c>
      <c r="P22" s="201">
        <f t="shared" si="24"/>
        <v>7.916666666666665</v>
      </c>
      <c r="Q22" s="201">
        <f t="shared" si="24"/>
        <v>13.999999999999988</v>
      </c>
      <c r="R22" s="201">
        <f t="shared" si="24"/>
        <v>12.833333333333362</v>
      </c>
      <c r="S22" s="201">
        <f t="shared" si="24"/>
        <v>7.999999999999993</v>
      </c>
      <c r="T22" s="191">
        <f t="shared" si="24"/>
        <v>0</v>
      </c>
      <c r="U22" s="191">
        <f t="shared" si="24"/>
        <v>0</v>
      </c>
      <c r="V22" s="191">
        <f t="shared" si="24"/>
        <v>0</v>
      </c>
      <c r="W22" s="191">
        <f t="shared" si="24"/>
        <v>0</v>
      </c>
      <c r="X22" s="188">
        <f>SUM(N22:W22)</f>
        <v>76.75</v>
      </c>
      <c r="Y22" s="200">
        <f aca="true" t="shared" si="25" ref="Y22:AH22">Y10*Y9</f>
        <v>3.9999999999999964</v>
      </c>
      <c r="Z22" s="201">
        <f t="shared" si="25"/>
        <v>8.750000000000002</v>
      </c>
      <c r="AA22" s="201">
        <f t="shared" si="25"/>
        <v>1.583333333333333</v>
      </c>
      <c r="AB22" s="201">
        <f t="shared" si="25"/>
        <v>4.999999999999996</v>
      </c>
      <c r="AC22" s="201">
        <f t="shared" si="25"/>
        <v>4.583333333333344</v>
      </c>
      <c r="AD22" s="201">
        <f t="shared" si="25"/>
        <v>2.9999999999999973</v>
      </c>
      <c r="AE22" s="191">
        <f t="shared" si="25"/>
        <v>0</v>
      </c>
      <c r="AF22" s="191">
        <f t="shared" si="25"/>
        <v>0</v>
      </c>
      <c r="AG22" s="191">
        <f t="shared" si="25"/>
        <v>0</v>
      </c>
      <c r="AH22" s="191">
        <f t="shared" si="25"/>
        <v>0</v>
      </c>
      <c r="AI22" s="188">
        <f>SUM(Y22:AH22)</f>
        <v>26.916666666666668</v>
      </c>
      <c r="AJ22" s="200">
        <f aca="true" t="shared" si="26" ref="AJ22:AS22">AJ10*AJ9</f>
        <v>2.9999999999999973</v>
      </c>
      <c r="AK22" s="201">
        <f t="shared" si="26"/>
        <v>19.250000000000004</v>
      </c>
      <c r="AL22" s="201">
        <f t="shared" si="26"/>
        <v>3.166666666666666</v>
      </c>
      <c r="AM22" s="201">
        <f t="shared" si="26"/>
        <v>9.999999999999991</v>
      </c>
      <c r="AN22" s="201">
        <f t="shared" si="26"/>
        <v>9.166666666666687</v>
      </c>
      <c r="AO22" s="201">
        <f t="shared" si="26"/>
        <v>5.999999999999995</v>
      </c>
      <c r="AP22" s="191">
        <f t="shared" si="26"/>
        <v>0</v>
      </c>
      <c r="AQ22" s="191">
        <f t="shared" si="26"/>
        <v>0</v>
      </c>
      <c r="AR22" s="191">
        <f t="shared" si="26"/>
        <v>0</v>
      </c>
      <c r="AS22" s="191">
        <f t="shared" si="26"/>
        <v>0</v>
      </c>
      <c r="AT22" s="188">
        <f>SUM(AJ22:AS22)</f>
        <v>50.583333333333336</v>
      </c>
      <c r="AU22" s="200">
        <f aca="true" t="shared" si="27" ref="AU22:BD22">AU10*AU9</f>
        <v>0</v>
      </c>
      <c r="AV22" s="201">
        <f t="shared" si="27"/>
        <v>12.250000000000004</v>
      </c>
      <c r="AW22" s="201">
        <f t="shared" si="27"/>
        <v>0</v>
      </c>
      <c r="AX22" s="201">
        <f t="shared" si="27"/>
        <v>0</v>
      </c>
      <c r="AY22" s="201">
        <f t="shared" si="27"/>
        <v>0</v>
      </c>
      <c r="AZ22" s="201">
        <f t="shared" si="27"/>
        <v>0</v>
      </c>
      <c r="BA22" s="191">
        <f t="shared" si="27"/>
        <v>0</v>
      </c>
      <c r="BB22" s="191">
        <f t="shared" si="27"/>
        <v>0</v>
      </c>
      <c r="BC22" s="191">
        <f t="shared" si="27"/>
        <v>0</v>
      </c>
      <c r="BD22" s="191">
        <f t="shared" si="27"/>
        <v>0</v>
      </c>
      <c r="BE22" s="188">
        <f>SUM(AU22:BD22)</f>
        <v>12.250000000000004</v>
      </c>
      <c r="BF22" s="136"/>
      <c r="BG22" s="151"/>
      <c r="BH22" s="197">
        <f>M22+X22+AI22+AT22+BE22</f>
        <v>232.08333333333334</v>
      </c>
      <c r="BI22"/>
      <c r="BJ22"/>
    </row>
    <row r="23" spans="1:62" s="54" customFormat="1" ht="19.5" customHeight="1">
      <c r="A23" s="81" t="s">
        <v>74</v>
      </c>
      <c r="B23" s="108"/>
      <c r="C23" s="113"/>
      <c r="D23" s="203">
        <f>D10</f>
        <v>12</v>
      </c>
      <c r="E23" s="114"/>
      <c r="F23" s="114"/>
      <c r="G23" s="114"/>
      <c r="H23" s="114"/>
      <c r="I23" s="114"/>
      <c r="J23" s="114"/>
      <c r="K23" s="114"/>
      <c r="L23" s="115"/>
      <c r="M23" s="220"/>
      <c r="N23" s="113"/>
      <c r="O23" s="203">
        <f>O10</f>
        <v>16</v>
      </c>
      <c r="P23" s="114"/>
      <c r="Q23" s="114"/>
      <c r="R23" s="114"/>
      <c r="S23" s="114"/>
      <c r="T23" s="114"/>
      <c r="U23" s="114"/>
      <c r="V23" s="114"/>
      <c r="W23" s="115"/>
      <c r="X23" s="220"/>
      <c r="Y23" s="113"/>
      <c r="Z23" s="203">
        <f>Z10</f>
        <v>5</v>
      </c>
      <c r="AA23" s="114"/>
      <c r="AB23" s="114"/>
      <c r="AC23" s="114"/>
      <c r="AD23" s="114"/>
      <c r="AE23" s="114"/>
      <c r="AF23" s="114"/>
      <c r="AG23" s="114"/>
      <c r="AH23" s="115"/>
      <c r="AI23" s="220"/>
      <c r="AJ23" s="113"/>
      <c r="AK23" s="203">
        <f>AK10</f>
        <v>11</v>
      </c>
      <c r="AL23" s="114"/>
      <c r="AM23" s="114"/>
      <c r="AN23" s="114"/>
      <c r="AO23" s="114"/>
      <c r="AP23" s="114"/>
      <c r="AQ23" s="114"/>
      <c r="AR23" s="114"/>
      <c r="AS23" s="115"/>
      <c r="AT23" s="220"/>
      <c r="AU23" s="113"/>
      <c r="AV23" s="203">
        <f>AV10</f>
        <v>7</v>
      </c>
      <c r="AW23" s="114"/>
      <c r="AX23" s="114"/>
      <c r="AY23" s="114"/>
      <c r="AZ23" s="114"/>
      <c r="BA23" s="114"/>
      <c r="BB23" s="114"/>
      <c r="BC23" s="114"/>
      <c r="BD23" s="115"/>
      <c r="BE23" s="220"/>
      <c r="BF23" s="137"/>
      <c r="BG23" s="152"/>
      <c r="BH23" s="198">
        <f>SUM(C23:BD23)</f>
        <v>51</v>
      </c>
      <c r="BI23"/>
      <c r="BJ23"/>
    </row>
    <row r="24" spans="1:62" s="54" customFormat="1" ht="19.5" customHeight="1">
      <c r="A24" s="81" t="s">
        <v>15</v>
      </c>
      <c r="B24" s="108"/>
      <c r="C24" s="204">
        <f>C10</f>
        <v>4</v>
      </c>
      <c r="D24" s="114"/>
      <c r="E24" s="114"/>
      <c r="F24" s="114"/>
      <c r="G24" s="114"/>
      <c r="H24" s="114"/>
      <c r="I24" s="114"/>
      <c r="J24" s="114"/>
      <c r="K24" s="114"/>
      <c r="L24" s="115"/>
      <c r="M24" s="220"/>
      <c r="N24" s="204">
        <f>N10</f>
        <v>6</v>
      </c>
      <c r="O24" s="114"/>
      <c r="P24" s="114"/>
      <c r="Q24" s="114"/>
      <c r="R24" s="114"/>
      <c r="S24" s="114"/>
      <c r="T24" s="114"/>
      <c r="U24" s="114"/>
      <c r="V24" s="114"/>
      <c r="W24" s="115"/>
      <c r="X24" s="220"/>
      <c r="Y24" s="204">
        <f>Y10</f>
        <v>4</v>
      </c>
      <c r="Z24" s="114"/>
      <c r="AA24" s="114"/>
      <c r="AB24" s="114"/>
      <c r="AC24" s="114"/>
      <c r="AD24" s="114"/>
      <c r="AE24" s="114"/>
      <c r="AF24" s="114"/>
      <c r="AG24" s="114"/>
      <c r="AH24" s="115"/>
      <c r="AI24" s="220"/>
      <c r="AJ24" s="204">
        <f>AJ10</f>
        <v>3</v>
      </c>
      <c r="AK24" s="114"/>
      <c r="AL24" s="114"/>
      <c r="AM24" s="114"/>
      <c r="AN24" s="114"/>
      <c r="AO24" s="114"/>
      <c r="AP24" s="114"/>
      <c r="AQ24" s="114"/>
      <c r="AR24" s="114"/>
      <c r="AS24" s="115"/>
      <c r="AT24" s="220"/>
      <c r="AU24" s="204">
        <f>AU10</f>
        <v>0</v>
      </c>
      <c r="AV24" s="114"/>
      <c r="AW24" s="114"/>
      <c r="AX24" s="114"/>
      <c r="AY24" s="114"/>
      <c r="AZ24" s="114"/>
      <c r="BA24" s="114"/>
      <c r="BB24" s="114"/>
      <c r="BC24" s="114"/>
      <c r="BD24" s="115"/>
      <c r="BE24" s="220"/>
      <c r="BF24" s="137"/>
      <c r="BG24" s="152"/>
      <c r="BH24" s="198">
        <f>SUM(C24:BD24)</f>
        <v>17</v>
      </c>
      <c r="BI24"/>
      <c r="BJ24"/>
    </row>
    <row r="25" spans="1:62" s="54" customFormat="1" ht="19.5" customHeight="1">
      <c r="A25" s="304" t="s">
        <v>78</v>
      </c>
      <c r="B25" s="110"/>
      <c r="C25" s="205">
        <f>C10*0.1</f>
        <v>0.4</v>
      </c>
      <c r="D25" s="206">
        <f>D10*0.5</f>
        <v>6</v>
      </c>
      <c r="E25" s="206">
        <f>MAX(E10:H10)*0.4</f>
        <v>5.6000000000000005</v>
      </c>
      <c r="F25" s="104"/>
      <c r="G25" s="104"/>
      <c r="H25" s="104"/>
      <c r="I25" s="105"/>
      <c r="J25" s="105"/>
      <c r="K25" s="105"/>
      <c r="L25" s="106"/>
      <c r="M25" s="189">
        <f>SUM(C25:L25)</f>
        <v>12</v>
      </c>
      <c r="N25" s="205">
        <f>N10*0.1</f>
        <v>0.6000000000000001</v>
      </c>
      <c r="O25" s="206">
        <f>O10*0.5</f>
        <v>8</v>
      </c>
      <c r="P25" s="206">
        <f>MAX(P10:S10)*0.4</f>
        <v>5.6000000000000005</v>
      </c>
      <c r="Q25" s="104"/>
      <c r="R25" s="104"/>
      <c r="S25" s="104"/>
      <c r="T25" s="105"/>
      <c r="U25" s="105"/>
      <c r="V25" s="105"/>
      <c r="W25" s="106"/>
      <c r="X25" s="189">
        <f>SUM(N25:W25)</f>
        <v>14.2</v>
      </c>
      <c r="Y25" s="205">
        <f>Y10*0.1</f>
        <v>0.4</v>
      </c>
      <c r="Z25" s="206">
        <f>Z10*0.5</f>
        <v>2.5</v>
      </c>
      <c r="AA25" s="206">
        <f>MAX(AA10:AD10)*0.4</f>
        <v>2</v>
      </c>
      <c r="AB25" s="104"/>
      <c r="AC25" s="104"/>
      <c r="AD25" s="104"/>
      <c r="AE25" s="105"/>
      <c r="AF25" s="105"/>
      <c r="AG25" s="105"/>
      <c r="AH25" s="106"/>
      <c r="AI25" s="189">
        <f>SUM(Y25:AH25)</f>
        <v>4.9</v>
      </c>
      <c r="AJ25" s="205">
        <f>AJ10*0.1</f>
        <v>0.30000000000000004</v>
      </c>
      <c r="AK25" s="206">
        <f>AK10*0.5</f>
        <v>5.5</v>
      </c>
      <c r="AL25" s="206">
        <f>MAX(AL10:AO10)*0.4</f>
        <v>4</v>
      </c>
      <c r="AM25" s="104"/>
      <c r="AN25" s="104"/>
      <c r="AO25" s="104"/>
      <c r="AP25" s="105"/>
      <c r="AQ25" s="105"/>
      <c r="AR25" s="105"/>
      <c r="AS25" s="106"/>
      <c r="AT25" s="189">
        <f>SUM(AJ25:AS25)</f>
        <v>9.8</v>
      </c>
      <c r="AU25" s="205">
        <f>AU10*0.1</f>
        <v>0</v>
      </c>
      <c r="AV25" s="206">
        <f>AV10*0.5</f>
        <v>3.5</v>
      </c>
      <c r="AW25" s="206">
        <f>MAX(AW10:AZ10)*0.4</f>
        <v>0</v>
      </c>
      <c r="AX25" s="104"/>
      <c r="AY25" s="104"/>
      <c r="AZ25" s="104"/>
      <c r="BA25" s="105"/>
      <c r="BB25" s="105"/>
      <c r="BC25" s="105"/>
      <c r="BD25" s="106"/>
      <c r="BE25" s="189">
        <f>SUM(AU25:BD25)</f>
        <v>3.5</v>
      </c>
      <c r="BF25" s="138"/>
      <c r="BG25" s="153"/>
      <c r="BH25" s="199">
        <f>(M25+X25+AI25+AT25+BE25)/5</f>
        <v>8.88</v>
      </c>
      <c r="BI25"/>
      <c r="BJ25"/>
    </row>
    <row r="26" spans="61:62" s="54" customFormat="1" ht="12.75">
      <c r="BI26"/>
      <c r="BJ26"/>
    </row>
    <row r="27" spans="1:62" s="54" customFormat="1" ht="12.75">
      <c r="A27" s="54" t="s">
        <v>87</v>
      </c>
      <c r="BI27"/>
      <c r="BJ27"/>
    </row>
    <row r="28" spans="1:62" s="54" customFormat="1" ht="12.75">
      <c r="A28" s="54" t="s">
        <v>73</v>
      </c>
      <c r="BI28"/>
      <c r="BJ28"/>
    </row>
    <row r="29" spans="1:62" s="54" customFormat="1" ht="12.75">
      <c r="A29" s="54" t="s">
        <v>51</v>
      </c>
      <c r="AW29" s="150"/>
      <c r="BI29"/>
      <c r="BJ29"/>
    </row>
    <row r="30" spans="61:62" s="54" customFormat="1" ht="12.75">
      <c r="BI30"/>
      <c r="BJ30"/>
    </row>
    <row r="31" spans="1:62" s="54" customFormat="1" ht="12.75">
      <c r="A31" s="46" t="s">
        <v>28</v>
      </c>
      <c r="BI31"/>
      <c r="BJ31"/>
    </row>
    <row r="32" spans="61:62" s="54" customFormat="1" ht="12.75">
      <c r="BI32"/>
      <c r="BJ32"/>
    </row>
    <row r="33" spans="61:62" s="54" customFormat="1" ht="12.75">
      <c r="BI33"/>
      <c r="BJ33"/>
    </row>
    <row r="34" spans="61:62" s="54" customFormat="1" ht="12.75">
      <c r="BI34"/>
      <c r="BJ34"/>
    </row>
    <row r="35" spans="61:62" s="54" customFormat="1" ht="12.75">
      <c r="BI35"/>
      <c r="BJ35"/>
    </row>
    <row r="36" spans="61:62" s="54" customFormat="1" ht="12.75">
      <c r="BI36"/>
      <c r="BJ36"/>
    </row>
    <row r="37" spans="61:62" s="54" customFormat="1" ht="12.75">
      <c r="BI37"/>
      <c r="BJ37"/>
    </row>
    <row r="38" spans="61:62" s="54" customFormat="1" ht="12.75">
      <c r="BI38"/>
      <c r="BJ38"/>
    </row>
    <row r="39" spans="61:62" s="54" customFormat="1" ht="12.75">
      <c r="BI39"/>
      <c r="BJ39"/>
    </row>
    <row r="40" spans="61:62" s="54" customFormat="1" ht="12.75">
      <c r="BI40"/>
      <c r="BJ40"/>
    </row>
    <row r="41" spans="12:62" s="54" customFormat="1" ht="12.75">
      <c r="L41" s="66"/>
      <c r="BI41"/>
      <c r="BJ41"/>
    </row>
    <row r="42" spans="61:62" s="54" customFormat="1" ht="12.75">
      <c r="BI42"/>
      <c r="BJ42"/>
    </row>
    <row r="43" spans="61:62" s="54" customFormat="1" ht="12.75">
      <c r="BI43"/>
      <c r="BJ43"/>
    </row>
    <row r="44" spans="61:62" s="54" customFormat="1" ht="12.75">
      <c r="BI44"/>
      <c r="BJ44"/>
    </row>
    <row r="45" spans="61:62" s="54" customFormat="1" ht="12.75">
      <c r="BI45"/>
      <c r="BJ45"/>
    </row>
    <row r="46" spans="61:62" s="54" customFormat="1" ht="12.75">
      <c r="BI46"/>
      <c r="BJ46"/>
    </row>
    <row r="47" spans="61:62" s="54" customFormat="1" ht="12.75">
      <c r="BI47"/>
      <c r="BJ47"/>
    </row>
    <row r="48" spans="61:62" s="54" customFormat="1" ht="12.75">
      <c r="BI48"/>
      <c r="BJ48"/>
    </row>
    <row r="49" spans="61:62" s="54" customFormat="1" ht="12.75">
      <c r="BI49"/>
      <c r="BJ49"/>
    </row>
    <row r="50" spans="61:62" s="54" customFormat="1" ht="12.75">
      <c r="BI50"/>
      <c r="BJ50"/>
    </row>
    <row r="51" spans="61:62" s="54" customFormat="1" ht="12.75">
      <c r="BI51"/>
      <c r="BJ51"/>
    </row>
    <row r="52" spans="61:62" s="54" customFormat="1" ht="12.75">
      <c r="BI52"/>
      <c r="BJ52"/>
    </row>
    <row r="53" spans="61:62" s="54" customFormat="1" ht="12.75">
      <c r="BI53"/>
      <c r="BJ53"/>
    </row>
    <row r="54" spans="61:62" s="54" customFormat="1" ht="12.75">
      <c r="BI54"/>
      <c r="BJ54"/>
    </row>
    <row r="55" spans="61:62" s="54" customFormat="1" ht="12.75">
      <c r="BI55"/>
      <c r="BJ55"/>
    </row>
    <row r="56" spans="61:62" s="54" customFormat="1" ht="12.75">
      <c r="BI56"/>
      <c r="BJ56"/>
    </row>
    <row r="57" spans="61:62" s="54" customFormat="1" ht="12.75">
      <c r="BI57"/>
      <c r="BJ57"/>
    </row>
    <row r="58" spans="61:62" s="54" customFormat="1" ht="12.75">
      <c r="BI58"/>
      <c r="BJ58"/>
    </row>
    <row r="59" spans="61:62" s="54" customFormat="1" ht="12.75">
      <c r="BI59"/>
      <c r="BJ59"/>
    </row>
    <row r="60" spans="61:62" s="54" customFormat="1" ht="12.75">
      <c r="BI60"/>
      <c r="BJ60"/>
    </row>
    <row r="61" spans="61:62" s="54" customFormat="1" ht="12.75">
      <c r="BI61"/>
      <c r="BJ61"/>
    </row>
    <row r="62" spans="61:62" s="54" customFormat="1" ht="12.75">
      <c r="BI62"/>
      <c r="BJ62"/>
    </row>
    <row r="63" spans="61:62" s="54" customFormat="1" ht="12.75">
      <c r="BI63"/>
      <c r="BJ63"/>
    </row>
  </sheetData>
  <printOptions/>
  <pageMargins left="0.984251968503937" right="0.5905511811023623" top="0.7874015748031497" bottom="0.5905511811023623" header="0.5118110236220472" footer="0.5118110236220472"/>
  <pageSetup fitToHeight="1" fitToWidth="1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2"/>
  <sheetViews>
    <sheetView zoomScaleSheetLayoutView="150" workbookViewId="0" topLeftCell="A1">
      <pane xSplit="1" topLeftCell="AB1" activePane="topRight" state="frozen"/>
      <selection pane="topLeft" activeCell="A50" sqref="A1:G50"/>
      <selection pane="topRight" activeCell="A25" sqref="A25"/>
    </sheetView>
  </sheetViews>
  <sheetFormatPr defaultColWidth="11.00390625" defaultRowHeight="12"/>
  <cols>
    <col min="1" max="1" width="28.375" style="12" customWidth="1"/>
    <col min="2" max="2" width="5.50390625" style="12" customWidth="1"/>
    <col min="3" max="12" width="3.875" style="2" customWidth="1"/>
    <col min="13" max="13" width="5.625" style="2" customWidth="1"/>
    <col min="14" max="18" width="3.875" style="54" customWidth="1"/>
    <col min="19" max="23" width="4.50390625" style="54" bestFit="1" customWidth="1"/>
    <col min="24" max="24" width="6.50390625" style="54" bestFit="1" customWidth="1"/>
    <col min="25" max="25" width="3.875" style="54" customWidth="1"/>
    <col min="26" max="26" width="4.50390625" style="54" bestFit="1" customWidth="1"/>
    <col min="27" max="27" width="3.875" style="54" customWidth="1"/>
    <col min="28" max="30" width="3.875" style="2" customWidth="1"/>
    <col min="31" max="34" width="4.50390625" style="2" bestFit="1" customWidth="1"/>
    <col min="35" max="35" width="5.625" style="2" customWidth="1"/>
    <col min="36" max="36" width="3.625" style="2" customWidth="1"/>
    <col min="37" max="37" width="4.50390625" style="2" bestFit="1" customWidth="1"/>
    <col min="38" max="38" width="3.50390625" style="2" bestFit="1" customWidth="1"/>
    <col min="39" max="45" width="4.50390625" style="2" bestFit="1" customWidth="1"/>
    <col min="46" max="46" width="5.625" style="2" customWidth="1"/>
    <col min="47" max="47" width="3.875" style="2" customWidth="1"/>
    <col min="48" max="48" width="4.50390625" style="2" bestFit="1" customWidth="1"/>
    <col min="49" max="52" width="3.875" style="2" customWidth="1"/>
    <col min="53" max="56" width="4.50390625" style="2" bestFit="1" customWidth="1"/>
    <col min="57" max="57" width="5.625" style="2" customWidth="1"/>
    <col min="58" max="59" width="5.875" style="2" customWidth="1"/>
    <col min="60" max="60" width="6.50390625" style="2" bestFit="1" customWidth="1"/>
    <col min="61" max="16384" width="10.875" style="2" customWidth="1"/>
  </cols>
  <sheetData>
    <row r="1" ht="33">
      <c r="A1" s="42" t="str">
        <f>Basiswerte!A1</f>
        <v>Budgettool zur Berechnung der Betriebskosten eines Tagesschulangebotes</v>
      </c>
    </row>
    <row r="2" ht="12">
      <c r="A2" s="12" t="str">
        <f>Basiswerte!A2</f>
        <v>Variante selber kochen</v>
      </c>
    </row>
    <row r="3" spans="1:2" ht="15">
      <c r="A3" s="57"/>
      <c r="B3" s="57"/>
    </row>
    <row r="4" spans="1:27" s="1" customFormat="1" ht="15">
      <c r="A4" s="57" t="s">
        <v>159</v>
      </c>
      <c r="B4" s="57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6" spans="3:59" ht="12">
      <c r="C6" s="77" t="s">
        <v>188</v>
      </c>
      <c r="D6" s="78"/>
      <c r="E6" s="78"/>
      <c r="F6" s="78"/>
      <c r="G6" s="78"/>
      <c r="H6" s="78"/>
      <c r="I6" s="78"/>
      <c r="J6" s="78"/>
      <c r="K6" s="78"/>
      <c r="L6" s="78"/>
      <c r="M6" s="79"/>
      <c r="N6" s="77" t="s">
        <v>21</v>
      </c>
      <c r="O6" s="78"/>
      <c r="P6" s="78"/>
      <c r="Q6" s="78"/>
      <c r="R6" s="78"/>
      <c r="S6" s="78"/>
      <c r="T6" s="78"/>
      <c r="U6" s="78"/>
      <c r="V6" s="78"/>
      <c r="W6" s="78"/>
      <c r="X6" s="79"/>
      <c r="Y6" s="77" t="s">
        <v>22</v>
      </c>
      <c r="Z6" s="78"/>
      <c r="AA6" s="78"/>
      <c r="AB6" s="78"/>
      <c r="AC6" s="78"/>
      <c r="AD6" s="78"/>
      <c r="AE6" s="78"/>
      <c r="AF6" s="78"/>
      <c r="AG6" s="78"/>
      <c r="AH6" s="78"/>
      <c r="AI6" s="79"/>
      <c r="AJ6" s="77" t="s">
        <v>23</v>
      </c>
      <c r="AK6" s="78"/>
      <c r="AL6" s="78"/>
      <c r="AM6" s="78"/>
      <c r="AN6" s="78"/>
      <c r="AO6" s="78"/>
      <c r="AP6" s="78"/>
      <c r="AQ6" s="78"/>
      <c r="AR6" s="78"/>
      <c r="AS6" s="78"/>
      <c r="AT6" s="79"/>
      <c r="AU6" s="77" t="s">
        <v>24</v>
      </c>
      <c r="AV6" s="78"/>
      <c r="AW6" s="78"/>
      <c r="AX6" s="78"/>
      <c r="AY6" s="78"/>
      <c r="AZ6" s="78"/>
      <c r="BA6" s="78"/>
      <c r="BB6" s="78"/>
      <c r="BC6" s="78"/>
      <c r="BD6" s="78"/>
      <c r="BE6" s="79"/>
      <c r="BF6" s="78" t="s">
        <v>1</v>
      </c>
      <c r="BG6" s="78"/>
    </row>
    <row r="7" spans="1:60" s="8" customFormat="1" ht="33.75">
      <c r="A7" s="8" t="s">
        <v>18</v>
      </c>
      <c r="C7" s="170">
        <v>0.2916666666666667</v>
      </c>
      <c r="D7" s="171">
        <v>0.4895833333333333</v>
      </c>
      <c r="E7" s="171">
        <f aca="true" t="shared" si="0" ref="E7:L7">D8</f>
        <v>0.5625</v>
      </c>
      <c r="F7" s="171">
        <f t="shared" si="0"/>
        <v>0.6284722222222222</v>
      </c>
      <c r="G7" s="171">
        <f t="shared" si="0"/>
        <v>0.6701388888888888</v>
      </c>
      <c r="H7" s="171">
        <f t="shared" si="0"/>
        <v>0.7083333333333334</v>
      </c>
      <c r="I7" s="173">
        <f t="shared" si="0"/>
        <v>0.75</v>
      </c>
      <c r="J7" s="173">
        <f t="shared" si="0"/>
        <v>0.75</v>
      </c>
      <c r="K7" s="173">
        <f t="shared" si="0"/>
        <v>0.75</v>
      </c>
      <c r="L7" s="173">
        <f t="shared" si="0"/>
        <v>0.75</v>
      </c>
      <c r="M7" s="229"/>
      <c r="N7" s="170">
        <v>0.2916666666666667</v>
      </c>
      <c r="O7" s="171">
        <v>0.4895833333333333</v>
      </c>
      <c r="P7" s="171">
        <f aca="true" t="shared" si="1" ref="P7:W7">O8</f>
        <v>0.5625</v>
      </c>
      <c r="Q7" s="171">
        <f t="shared" si="1"/>
        <v>0.6284722222222222</v>
      </c>
      <c r="R7" s="171">
        <f t="shared" si="1"/>
        <v>0.6701388888888888</v>
      </c>
      <c r="S7" s="171">
        <f t="shared" si="1"/>
        <v>0.7083333333333334</v>
      </c>
      <c r="T7" s="173">
        <f t="shared" si="1"/>
        <v>0.75</v>
      </c>
      <c r="U7" s="173">
        <f t="shared" si="1"/>
        <v>0.75</v>
      </c>
      <c r="V7" s="173">
        <f t="shared" si="1"/>
        <v>0.75</v>
      </c>
      <c r="W7" s="173">
        <f t="shared" si="1"/>
        <v>0.75</v>
      </c>
      <c r="X7" s="229"/>
      <c r="Y7" s="172">
        <v>0.2916666666666667</v>
      </c>
      <c r="Z7" s="173">
        <v>0.4895833333333333</v>
      </c>
      <c r="AA7" s="173">
        <f aca="true" t="shared" si="2" ref="AA7:AH7">Z8</f>
        <v>0.5625</v>
      </c>
      <c r="AB7" s="173">
        <f t="shared" si="2"/>
        <v>0.6284722222222222</v>
      </c>
      <c r="AC7" s="173">
        <f t="shared" si="2"/>
        <v>0.6701388888888888</v>
      </c>
      <c r="AD7" s="173">
        <f t="shared" si="2"/>
        <v>0.7083333333333334</v>
      </c>
      <c r="AE7" s="173">
        <f t="shared" si="2"/>
        <v>0.75</v>
      </c>
      <c r="AF7" s="173">
        <f t="shared" si="2"/>
        <v>0.75</v>
      </c>
      <c r="AG7" s="173">
        <f t="shared" si="2"/>
        <v>0.75</v>
      </c>
      <c r="AH7" s="173">
        <f t="shared" si="2"/>
        <v>0.75</v>
      </c>
      <c r="AI7" s="229"/>
      <c r="AJ7" s="172">
        <v>0.2916666666666667</v>
      </c>
      <c r="AK7" s="173">
        <v>0.4895833333333333</v>
      </c>
      <c r="AL7" s="173">
        <f aca="true" t="shared" si="3" ref="AL7:AS7">AK8</f>
        <v>0.5625</v>
      </c>
      <c r="AM7" s="173">
        <f t="shared" si="3"/>
        <v>0.6284722222222222</v>
      </c>
      <c r="AN7" s="173">
        <f t="shared" si="3"/>
        <v>0.6701388888888888</v>
      </c>
      <c r="AO7" s="173">
        <f t="shared" si="3"/>
        <v>0.7083333333333334</v>
      </c>
      <c r="AP7" s="173">
        <f t="shared" si="3"/>
        <v>0.75</v>
      </c>
      <c r="AQ7" s="173">
        <f t="shared" si="3"/>
        <v>0.75</v>
      </c>
      <c r="AR7" s="173">
        <f t="shared" si="3"/>
        <v>0.75</v>
      </c>
      <c r="AS7" s="173">
        <f t="shared" si="3"/>
        <v>0.75</v>
      </c>
      <c r="AT7" s="229"/>
      <c r="AU7" s="172">
        <v>0.2916666666666667</v>
      </c>
      <c r="AV7" s="173">
        <v>0.4895833333333333</v>
      </c>
      <c r="AW7" s="173">
        <f aca="true" t="shared" si="4" ref="AW7:BD7">AV8</f>
        <v>0.5625</v>
      </c>
      <c r="AX7" s="173">
        <f t="shared" si="4"/>
        <v>0.6284722222222222</v>
      </c>
      <c r="AY7" s="173">
        <f t="shared" si="4"/>
        <v>0.6701388888888888</v>
      </c>
      <c r="AZ7" s="173">
        <f t="shared" si="4"/>
        <v>0.7083333333333334</v>
      </c>
      <c r="BA7" s="173">
        <f t="shared" si="4"/>
        <v>0.75</v>
      </c>
      <c r="BB7" s="173">
        <f t="shared" si="4"/>
        <v>0.75</v>
      </c>
      <c r="BC7" s="173">
        <f t="shared" si="4"/>
        <v>0.75</v>
      </c>
      <c r="BD7" s="173">
        <f t="shared" si="4"/>
        <v>0.75</v>
      </c>
      <c r="BE7" s="75"/>
      <c r="BF7" s="130"/>
      <c r="BG7" s="154"/>
      <c r="BH7" s="131"/>
    </row>
    <row r="8" spans="1:60" s="8" customFormat="1" ht="33.75">
      <c r="A8" s="8" t="s">
        <v>19</v>
      </c>
      <c r="C8" s="170">
        <v>0.3333333333333333</v>
      </c>
      <c r="D8" s="171">
        <v>0.5625</v>
      </c>
      <c r="E8" s="171">
        <v>0.6284722222222222</v>
      </c>
      <c r="F8" s="171">
        <v>0.6701388888888888</v>
      </c>
      <c r="G8" s="171">
        <v>0.7083333333333334</v>
      </c>
      <c r="H8" s="171">
        <v>0.75</v>
      </c>
      <c r="I8" s="173">
        <v>0.75</v>
      </c>
      <c r="J8" s="173">
        <v>0.75</v>
      </c>
      <c r="K8" s="173">
        <v>0.75</v>
      </c>
      <c r="L8" s="173">
        <v>0.75</v>
      </c>
      <c r="M8" s="229" t="s">
        <v>17</v>
      </c>
      <c r="N8" s="170">
        <v>0.3333333333333333</v>
      </c>
      <c r="O8" s="171">
        <v>0.5625</v>
      </c>
      <c r="P8" s="171">
        <v>0.6284722222222222</v>
      </c>
      <c r="Q8" s="171">
        <v>0.6701388888888888</v>
      </c>
      <c r="R8" s="171">
        <v>0.7083333333333334</v>
      </c>
      <c r="S8" s="171">
        <v>0.75</v>
      </c>
      <c r="T8" s="173">
        <v>0.75</v>
      </c>
      <c r="U8" s="173">
        <v>0.75</v>
      </c>
      <c r="V8" s="173">
        <v>0.75</v>
      </c>
      <c r="W8" s="173">
        <v>0.75</v>
      </c>
      <c r="X8" s="229" t="s">
        <v>17</v>
      </c>
      <c r="Y8" s="172">
        <v>0.3333333333333333</v>
      </c>
      <c r="Z8" s="173">
        <v>0.5625</v>
      </c>
      <c r="AA8" s="173">
        <v>0.6284722222222222</v>
      </c>
      <c r="AB8" s="173">
        <v>0.6701388888888888</v>
      </c>
      <c r="AC8" s="173">
        <v>0.7083333333333334</v>
      </c>
      <c r="AD8" s="173">
        <v>0.75</v>
      </c>
      <c r="AE8" s="173">
        <v>0.75</v>
      </c>
      <c r="AF8" s="173">
        <v>0.75</v>
      </c>
      <c r="AG8" s="173">
        <v>0.75</v>
      </c>
      <c r="AH8" s="173">
        <v>0.75</v>
      </c>
      <c r="AI8" s="229" t="s">
        <v>17</v>
      </c>
      <c r="AJ8" s="172">
        <v>0.3333333333333333</v>
      </c>
      <c r="AK8" s="173">
        <v>0.5625</v>
      </c>
      <c r="AL8" s="173">
        <v>0.6284722222222222</v>
      </c>
      <c r="AM8" s="173">
        <v>0.6701388888888888</v>
      </c>
      <c r="AN8" s="173">
        <v>0.7083333333333334</v>
      </c>
      <c r="AO8" s="173">
        <v>0.75</v>
      </c>
      <c r="AP8" s="173">
        <v>0.75</v>
      </c>
      <c r="AQ8" s="173">
        <v>0.75</v>
      </c>
      <c r="AR8" s="173">
        <v>0.75</v>
      </c>
      <c r="AS8" s="173">
        <v>0.75</v>
      </c>
      <c r="AT8" s="229" t="s">
        <v>17</v>
      </c>
      <c r="AU8" s="172">
        <v>0.3333333333333333</v>
      </c>
      <c r="AV8" s="173">
        <v>0.5625</v>
      </c>
      <c r="AW8" s="173">
        <v>0.6284722222222222</v>
      </c>
      <c r="AX8" s="173">
        <v>0.6701388888888888</v>
      </c>
      <c r="AY8" s="173">
        <v>0.7083333333333334</v>
      </c>
      <c r="AZ8" s="173">
        <v>0.75</v>
      </c>
      <c r="BA8" s="173">
        <v>0.75</v>
      </c>
      <c r="BB8" s="173">
        <v>0.75</v>
      </c>
      <c r="BC8" s="173">
        <v>0.75</v>
      </c>
      <c r="BD8" s="173">
        <v>0.75</v>
      </c>
      <c r="BE8" s="75" t="s">
        <v>17</v>
      </c>
      <c r="BF8" s="132"/>
      <c r="BG8" s="156" t="s">
        <v>2</v>
      </c>
      <c r="BH8" s="133"/>
    </row>
    <row r="9" spans="1:60" s="8" customFormat="1" ht="12">
      <c r="A9" s="65" t="s">
        <v>20</v>
      </c>
      <c r="B9" s="65"/>
      <c r="C9" s="182">
        <f aca="true" t="shared" si="5" ref="C9:L9">(C8-C7)*24</f>
        <v>0.9999999999999991</v>
      </c>
      <c r="D9" s="183">
        <f t="shared" si="5"/>
        <v>1.7500000000000004</v>
      </c>
      <c r="E9" s="183">
        <f t="shared" si="5"/>
        <v>1.583333333333333</v>
      </c>
      <c r="F9" s="183">
        <f t="shared" si="5"/>
        <v>0.9999999999999991</v>
      </c>
      <c r="G9" s="183">
        <f t="shared" si="5"/>
        <v>0.9166666666666687</v>
      </c>
      <c r="H9" s="183">
        <f t="shared" si="5"/>
        <v>0.9999999999999991</v>
      </c>
      <c r="I9" s="184">
        <f t="shared" si="5"/>
        <v>0</v>
      </c>
      <c r="J9" s="183">
        <f t="shared" si="5"/>
        <v>0</v>
      </c>
      <c r="K9" s="183">
        <f t="shared" si="5"/>
        <v>0</v>
      </c>
      <c r="L9" s="183">
        <f t="shared" si="5"/>
        <v>0</v>
      </c>
      <c r="M9" s="185">
        <f>SUM(C9:H9)</f>
        <v>7.249999999999999</v>
      </c>
      <c r="N9" s="182">
        <f aca="true" t="shared" si="6" ref="N9:W9">(N8-N7)*24</f>
        <v>0.9999999999999991</v>
      </c>
      <c r="O9" s="183">
        <f t="shared" si="6"/>
        <v>1.7500000000000004</v>
      </c>
      <c r="P9" s="183">
        <f t="shared" si="6"/>
        <v>1.583333333333333</v>
      </c>
      <c r="Q9" s="183">
        <f t="shared" si="6"/>
        <v>0.9999999999999991</v>
      </c>
      <c r="R9" s="183">
        <f t="shared" si="6"/>
        <v>0.9166666666666687</v>
      </c>
      <c r="S9" s="183">
        <f t="shared" si="6"/>
        <v>0.9999999999999991</v>
      </c>
      <c r="T9" s="184">
        <f t="shared" si="6"/>
        <v>0</v>
      </c>
      <c r="U9" s="183">
        <f t="shared" si="6"/>
        <v>0</v>
      </c>
      <c r="V9" s="183">
        <f t="shared" si="6"/>
        <v>0</v>
      </c>
      <c r="W9" s="183">
        <f t="shared" si="6"/>
        <v>0</v>
      </c>
      <c r="X9" s="185">
        <f>SUM(N9:S9)</f>
        <v>7.249999999999999</v>
      </c>
      <c r="Y9" s="182">
        <f aca="true" t="shared" si="7" ref="Y9:AH9">(Y8-Y7)*24</f>
        <v>0.9999999999999991</v>
      </c>
      <c r="Z9" s="183">
        <f t="shared" si="7"/>
        <v>1.7500000000000004</v>
      </c>
      <c r="AA9" s="183">
        <f t="shared" si="7"/>
        <v>1.583333333333333</v>
      </c>
      <c r="AB9" s="183">
        <f t="shared" si="7"/>
        <v>0.9999999999999991</v>
      </c>
      <c r="AC9" s="183">
        <f t="shared" si="7"/>
        <v>0.9166666666666687</v>
      </c>
      <c r="AD9" s="183">
        <f t="shared" si="7"/>
        <v>0.9999999999999991</v>
      </c>
      <c r="AE9" s="184">
        <f t="shared" si="7"/>
        <v>0</v>
      </c>
      <c r="AF9" s="183">
        <f t="shared" si="7"/>
        <v>0</v>
      </c>
      <c r="AG9" s="183">
        <f t="shared" si="7"/>
        <v>0</v>
      </c>
      <c r="AH9" s="183">
        <f t="shared" si="7"/>
        <v>0</v>
      </c>
      <c r="AI9" s="185">
        <f>SUM(Y9:AD9)</f>
        <v>7.249999999999999</v>
      </c>
      <c r="AJ9" s="182">
        <f aca="true" t="shared" si="8" ref="AJ9:AS9">(AJ8-AJ7)*24</f>
        <v>0.9999999999999991</v>
      </c>
      <c r="AK9" s="183">
        <f t="shared" si="8"/>
        <v>1.7500000000000004</v>
      </c>
      <c r="AL9" s="183">
        <f t="shared" si="8"/>
        <v>1.583333333333333</v>
      </c>
      <c r="AM9" s="183">
        <f t="shared" si="8"/>
        <v>0.9999999999999991</v>
      </c>
      <c r="AN9" s="183">
        <f t="shared" si="8"/>
        <v>0.9166666666666687</v>
      </c>
      <c r="AO9" s="186">
        <f t="shared" si="8"/>
        <v>0.9999999999999991</v>
      </c>
      <c r="AP9" s="184">
        <f t="shared" si="8"/>
        <v>0</v>
      </c>
      <c r="AQ9" s="183">
        <f t="shared" si="8"/>
        <v>0</v>
      </c>
      <c r="AR9" s="183">
        <f t="shared" si="8"/>
        <v>0</v>
      </c>
      <c r="AS9" s="183">
        <f t="shared" si="8"/>
        <v>0</v>
      </c>
      <c r="AT9" s="185">
        <f>SUM(AJ9:AO9)</f>
        <v>7.249999999999999</v>
      </c>
      <c r="AU9" s="182">
        <f aca="true" t="shared" si="9" ref="AU9:BD9">(AU8-AU7)*24</f>
        <v>0.9999999999999991</v>
      </c>
      <c r="AV9" s="183">
        <f t="shared" si="9"/>
        <v>1.7500000000000004</v>
      </c>
      <c r="AW9" s="183">
        <f t="shared" si="9"/>
        <v>1.583333333333333</v>
      </c>
      <c r="AX9" s="183">
        <f t="shared" si="9"/>
        <v>0.9999999999999991</v>
      </c>
      <c r="AY9" s="183">
        <f t="shared" si="9"/>
        <v>0.9166666666666687</v>
      </c>
      <c r="AZ9" s="183">
        <f t="shared" si="9"/>
        <v>0.9999999999999991</v>
      </c>
      <c r="BA9" s="184">
        <f t="shared" si="9"/>
        <v>0</v>
      </c>
      <c r="BB9" s="183">
        <f t="shared" si="9"/>
        <v>0</v>
      </c>
      <c r="BC9" s="183">
        <f t="shared" si="9"/>
        <v>0</v>
      </c>
      <c r="BD9" s="183">
        <f t="shared" si="9"/>
        <v>0</v>
      </c>
      <c r="BE9" s="185">
        <f>SUM(AU9:BD9)</f>
        <v>7.249999999999999</v>
      </c>
      <c r="BF9" s="134"/>
      <c r="BG9" s="155"/>
      <c r="BH9" s="187">
        <f>AVERAGE(M9,X9,AI9,AT9,BE9)</f>
        <v>7.249999999999998</v>
      </c>
    </row>
    <row r="10" spans="1:60" s="8" customFormat="1" ht="25.5" customHeight="1">
      <c r="A10" s="84" t="s">
        <v>192</v>
      </c>
      <c r="B10" s="84"/>
      <c r="C10" s="85">
        <f>Nachfrage!C15</f>
        <v>8</v>
      </c>
      <c r="D10" s="86">
        <f>Nachfrage!D15</f>
        <v>22</v>
      </c>
      <c r="E10" s="86">
        <f>Nachfrage!E15</f>
        <v>6</v>
      </c>
      <c r="F10" s="86">
        <f>Nachfrage!F15</f>
        <v>25</v>
      </c>
      <c r="G10" s="86">
        <f>Nachfrage!G15</f>
        <v>25</v>
      </c>
      <c r="H10" s="86">
        <f>Nachfrage!H15</f>
        <v>16</v>
      </c>
      <c r="I10" s="86">
        <f>Nachfrage!I15</f>
        <v>0</v>
      </c>
      <c r="J10" s="86">
        <f>Nachfrage!J15</f>
        <v>0</v>
      </c>
      <c r="K10" s="86">
        <f>Nachfrage!K15</f>
        <v>0</v>
      </c>
      <c r="L10" s="297">
        <f>Nachfrage!L15</f>
        <v>0</v>
      </c>
      <c r="M10" s="228"/>
      <c r="N10" s="85">
        <f>Nachfrage!N15</f>
        <v>11</v>
      </c>
      <c r="O10" s="86">
        <f>Nachfrage!O15</f>
        <v>28</v>
      </c>
      <c r="P10" s="86">
        <f>Nachfrage!P15</f>
        <v>9</v>
      </c>
      <c r="Q10" s="86">
        <f>Nachfrage!Q15</f>
        <v>25</v>
      </c>
      <c r="R10" s="86">
        <f>Nachfrage!R15</f>
        <v>25</v>
      </c>
      <c r="S10" s="86">
        <f>Nachfrage!S15</f>
        <v>14</v>
      </c>
      <c r="T10" s="86">
        <f>Nachfrage!T15</f>
        <v>0</v>
      </c>
      <c r="U10" s="86">
        <f>Nachfrage!U15</f>
        <v>0</v>
      </c>
      <c r="V10" s="86">
        <f>Nachfrage!V15</f>
        <v>0</v>
      </c>
      <c r="W10" s="297">
        <f>Nachfrage!W15</f>
        <v>0</v>
      </c>
      <c r="X10" s="228"/>
      <c r="Y10" s="85">
        <f>Nachfrage!Y15</f>
        <v>7</v>
      </c>
      <c r="Z10" s="86">
        <f>Nachfrage!Z15</f>
        <v>9</v>
      </c>
      <c r="AA10" s="86">
        <f>Nachfrage!AA15</f>
        <v>2</v>
      </c>
      <c r="AB10" s="86">
        <f>Nachfrage!AB15</f>
        <v>9</v>
      </c>
      <c r="AC10" s="86">
        <f>Nachfrage!AC15</f>
        <v>9</v>
      </c>
      <c r="AD10" s="86">
        <f>Nachfrage!AD15</f>
        <v>6</v>
      </c>
      <c r="AE10" s="86">
        <f>Nachfrage!AE15</f>
        <v>0</v>
      </c>
      <c r="AF10" s="86">
        <f>Nachfrage!AF15</f>
        <v>0</v>
      </c>
      <c r="AG10" s="86">
        <f>Nachfrage!AG15</f>
        <v>0</v>
      </c>
      <c r="AH10" s="297">
        <f>Nachfrage!AH15</f>
        <v>0</v>
      </c>
      <c r="AI10" s="228"/>
      <c r="AJ10" s="85">
        <f>Nachfrage!AJ15</f>
        <v>5</v>
      </c>
      <c r="AK10" s="86">
        <f>Nachfrage!AK15</f>
        <v>20</v>
      </c>
      <c r="AL10" s="86">
        <f>Nachfrage!AL15</f>
        <v>4</v>
      </c>
      <c r="AM10" s="86">
        <f>Nachfrage!AM15</f>
        <v>17</v>
      </c>
      <c r="AN10" s="86">
        <f>Nachfrage!AN15</f>
        <v>17</v>
      </c>
      <c r="AO10" s="86">
        <f>Nachfrage!AO15</f>
        <v>11</v>
      </c>
      <c r="AP10" s="87">
        <f>Nachfrage!AP15</f>
        <v>0</v>
      </c>
      <c r="AQ10" s="86">
        <f>Nachfrage!AQ15</f>
        <v>0</v>
      </c>
      <c r="AR10" s="86">
        <f>Nachfrage!AR15</f>
        <v>0</v>
      </c>
      <c r="AS10" s="297">
        <f>Nachfrage!AS15</f>
        <v>0</v>
      </c>
      <c r="AT10" s="228"/>
      <c r="AU10" s="85"/>
      <c r="AV10" s="86">
        <f>Nachfrage!AV15</f>
        <v>12</v>
      </c>
      <c r="AW10" s="86">
        <f>Nachfrage!AW15</f>
        <v>2</v>
      </c>
      <c r="AX10" s="86">
        <f>Nachfrage!AX15</f>
        <v>9</v>
      </c>
      <c r="AY10" s="86">
        <f>Nachfrage!AY15</f>
        <v>9</v>
      </c>
      <c r="AZ10" s="86">
        <f>Nachfrage!AZ15</f>
        <v>5</v>
      </c>
      <c r="BA10" s="86">
        <f>Nachfrage!BA15</f>
        <v>0</v>
      </c>
      <c r="BB10" s="86">
        <f>Nachfrage!BB15</f>
        <v>0</v>
      </c>
      <c r="BC10" s="86">
        <f>Nachfrage!BC15</f>
        <v>0</v>
      </c>
      <c r="BD10" s="297">
        <f>Nachfrage!BD15</f>
        <v>0</v>
      </c>
      <c r="BE10" s="76"/>
      <c r="BF10" s="134"/>
      <c r="BG10" s="155"/>
      <c r="BH10" s="135"/>
    </row>
    <row r="11" spans="1:60" s="213" customFormat="1" ht="19.5" customHeight="1">
      <c r="A11" s="80" t="s">
        <v>118</v>
      </c>
      <c r="B11" s="107" t="s">
        <v>86</v>
      </c>
      <c r="C11" s="209"/>
      <c r="D11" s="210"/>
      <c r="E11" s="210"/>
      <c r="F11" s="210"/>
      <c r="G11" s="210"/>
      <c r="H11" s="210"/>
      <c r="I11" s="210"/>
      <c r="J11" s="210"/>
      <c r="K11" s="210"/>
      <c r="L11" s="211"/>
      <c r="M11" s="214"/>
      <c r="N11" s="209"/>
      <c r="O11" s="210"/>
      <c r="P11" s="210"/>
      <c r="Q11" s="210"/>
      <c r="R11" s="210"/>
      <c r="S11" s="210"/>
      <c r="T11" s="210"/>
      <c r="U11" s="210"/>
      <c r="V11" s="210"/>
      <c r="W11" s="211"/>
      <c r="X11" s="214"/>
      <c r="Y11" s="209"/>
      <c r="Z11" s="210"/>
      <c r="AA11" s="210"/>
      <c r="AB11" s="210"/>
      <c r="AC11" s="210"/>
      <c r="AD11" s="210"/>
      <c r="AE11" s="210"/>
      <c r="AF11" s="210"/>
      <c r="AG11" s="210"/>
      <c r="AH11" s="211"/>
      <c r="AI11" s="214"/>
      <c r="AJ11" s="209"/>
      <c r="AK11" s="210"/>
      <c r="AL11" s="210"/>
      <c r="AM11" s="210"/>
      <c r="AN11" s="210"/>
      <c r="AO11" s="210"/>
      <c r="AP11" s="210"/>
      <c r="AQ11" s="210"/>
      <c r="AR11" s="210"/>
      <c r="AS11" s="211"/>
      <c r="AT11" s="214"/>
      <c r="AU11" s="298"/>
      <c r="AV11" s="299"/>
      <c r="AW11" s="299"/>
      <c r="AX11" s="299"/>
      <c r="AY11" s="299"/>
      <c r="AZ11" s="299"/>
      <c r="BA11" s="299"/>
      <c r="BB11" s="299"/>
      <c r="BC11" s="299"/>
      <c r="BD11" s="300"/>
      <c r="BE11" s="214"/>
      <c r="BF11" s="209" t="s">
        <v>109</v>
      </c>
      <c r="BG11" s="210" t="s">
        <v>110</v>
      </c>
      <c r="BH11" s="211" t="s">
        <v>3</v>
      </c>
    </row>
    <row r="12" spans="1:60" s="97" customFormat="1" ht="19.5" customHeight="1">
      <c r="A12" s="81" t="s">
        <v>76</v>
      </c>
      <c r="B12" s="207" t="s">
        <v>52</v>
      </c>
      <c r="C12" s="176">
        <v>1</v>
      </c>
      <c r="D12" s="177">
        <v>1</v>
      </c>
      <c r="E12" s="177"/>
      <c r="F12" s="177">
        <v>1</v>
      </c>
      <c r="G12" s="177">
        <v>1</v>
      </c>
      <c r="H12" s="177">
        <v>1</v>
      </c>
      <c r="I12" s="177"/>
      <c r="J12" s="177"/>
      <c r="K12" s="177"/>
      <c r="L12" s="178"/>
      <c r="M12" s="188">
        <f aca="true" t="shared" si="10" ref="M12:M17">C12*C$9+D12*D$9+E$9*E12+F12*F$9+G12*G$9+H12*H$9+I12*I$9+J12*J$9+K12*K$9+L12*L$9</f>
        <v>5.666666666666667</v>
      </c>
      <c r="N12" s="176">
        <v>1</v>
      </c>
      <c r="O12" s="177">
        <v>1</v>
      </c>
      <c r="P12" s="177">
        <v>1</v>
      </c>
      <c r="Q12" s="177">
        <v>1</v>
      </c>
      <c r="R12" s="177">
        <v>1</v>
      </c>
      <c r="S12" s="177">
        <v>1</v>
      </c>
      <c r="T12" s="177"/>
      <c r="U12" s="177"/>
      <c r="V12" s="177"/>
      <c r="W12" s="178"/>
      <c r="X12" s="188">
        <f aca="true" t="shared" si="11" ref="X12:X17">N12*N$9+O12*O$9+P$9*P12+Q12*Q$9+R12*R$9+S12*S$9+T12*T$9+U12*U$9+V12*V$9+W12*W$9</f>
        <v>7.249999999999999</v>
      </c>
      <c r="Y12" s="176">
        <v>1</v>
      </c>
      <c r="Z12" s="177">
        <v>1</v>
      </c>
      <c r="AA12" s="177">
        <v>1</v>
      </c>
      <c r="AB12" s="177">
        <v>1</v>
      </c>
      <c r="AC12" s="177">
        <v>1</v>
      </c>
      <c r="AD12" s="177">
        <v>1</v>
      </c>
      <c r="AE12" s="177"/>
      <c r="AF12" s="177"/>
      <c r="AG12" s="177"/>
      <c r="AH12" s="178"/>
      <c r="AI12" s="188">
        <f aca="true" t="shared" si="12" ref="AI12:AI17">Y12*Y$9+Z12*Z$9+AA$9*AA12+AB12*AB$9+AC12*AC$9+AD12*AD$9+AE12*AE$9+AF12*AF$9+AG12*AG$9+AH12*AH$9</f>
        <v>7.249999999999999</v>
      </c>
      <c r="AJ12" s="176">
        <v>1</v>
      </c>
      <c r="AK12" s="177">
        <v>1</v>
      </c>
      <c r="AL12" s="177"/>
      <c r="AM12" s="177">
        <v>1</v>
      </c>
      <c r="AN12" s="177">
        <v>1</v>
      </c>
      <c r="AO12" s="177">
        <v>1</v>
      </c>
      <c r="AP12" s="177"/>
      <c r="AQ12" s="177"/>
      <c r="AR12" s="177"/>
      <c r="AS12" s="178"/>
      <c r="AT12" s="188">
        <f aca="true" t="shared" si="13" ref="AT12:AT17">AJ12*AJ$9+AK12*AK$9+AL$9*AL12+AM12*AM$9+AN12*AN$9+AO12*AO$9+AP12*AP$9+AQ12*AQ$9+AR12*AR$9+AS12*AS$9</f>
        <v>5.666666666666667</v>
      </c>
      <c r="AU12" s="176"/>
      <c r="AV12" s="177">
        <v>1</v>
      </c>
      <c r="AW12" s="177"/>
      <c r="AX12" s="177"/>
      <c r="AY12" s="177"/>
      <c r="AZ12" s="177"/>
      <c r="BA12" s="177"/>
      <c r="BB12" s="177"/>
      <c r="BC12" s="177"/>
      <c r="BD12" s="178"/>
      <c r="BE12" s="188">
        <f aca="true" t="shared" si="14" ref="BE12:BE17">AU12*AU$9+AV12*AV$9+AW$9*AW12+AX12*AX$9+AY12*AY$9+AZ12*AZ$9+BA12*BA$9+BB12*BB$9+BC12*BC$9+BD12*BD$9</f>
        <v>1.7500000000000004</v>
      </c>
      <c r="BF12" s="190">
        <f aca="true" t="shared" si="15" ref="BF12:BF17">IF(B12="N",0,IF(B12="A",BH12,"Bitte Qualifikation in der Spalte B eintragen"))</f>
        <v>27.583333333333332</v>
      </c>
      <c r="BG12" s="191">
        <f aca="true" t="shared" si="16" ref="BG12:BG17">IF(B12="A",0,IF(B12="N",BH12,"Bitte Qualifikation in der Spalte B eintragen"))</f>
        <v>0</v>
      </c>
      <c r="BH12" s="192">
        <f aca="true" t="shared" si="17" ref="BH12:BH17">M12+X12+AI12+AT12+BE12</f>
        <v>27.583333333333332</v>
      </c>
    </row>
    <row r="13" spans="1:60" s="97" customFormat="1" ht="19.5" customHeight="1">
      <c r="A13" s="81" t="s">
        <v>141</v>
      </c>
      <c r="B13" s="207" t="s">
        <v>52</v>
      </c>
      <c r="C13" s="176"/>
      <c r="D13" s="177">
        <v>1</v>
      </c>
      <c r="E13" s="177">
        <v>1</v>
      </c>
      <c r="F13" s="177">
        <v>1</v>
      </c>
      <c r="G13" s="177">
        <v>1</v>
      </c>
      <c r="H13" s="177">
        <v>1</v>
      </c>
      <c r="I13" s="177"/>
      <c r="J13" s="177"/>
      <c r="K13" s="177"/>
      <c r="L13" s="178"/>
      <c r="M13" s="188">
        <f t="shared" si="10"/>
        <v>6.25</v>
      </c>
      <c r="N13" s="176"/>
      <c r="O13" s="177">
        <v>1</v>
      </c>
      <c r="P13" s="177"/>
      <c r="Q13" s="177">
        <v>1</v>
      </c>
      <c r="R13" s="177">
        <v>1</v>
      </c>
      <c r="S13" s="177">
        <v>1</v>
      </c>
      <c r="T13" s="177"/>
      <c r="U13" s="177"/>
      <c r="V13" s="177"/>
      <c r="W13" s="178"/>
      <c r="X13" s="188">
        <f t="shared" si="11"/>
        <v>4.666666666666668</v>
      </c>
      <c r="Y13" s="176"/>
      <c r="Z13" s="177"/>
      <c r="AA13" s="177"/>
      <c r="AB13" s="177"/>
      <c r="AC13" s="177"/>
      <c r="AD13" s="177"/>
      <c r="AE13" s="177"/>
      <c r="AF13" s="177"/>
      <c r="AG13" s="177"/>
      <c r="AH13" s="178"/>
      <c r="AI13" s="188">
        <f t="shared" si="12"/>
        <v>0</v>
      </c>
      <c r="AJ13" s="176"/>
      <c r="AK13" s="177">
        <v>1</v>
      </c>
      <c r="AL13" s="177">
        <v>1</v>
      </c>
      <c r="AM13" s="177">
        <v>1</v>
      </c>
      <c r="AN13" s="177">
        <v>1</v>
      </c>
      <c r="AO13" s="177">
        <v>1</v>
      </c>
      <c r="AP13" s="177"/>
      <c r="AQ13" s="177"/>
      <c r="AR13" s="177"/>
      <c r="AS13" s="178"/>
      <c r="AT13" s="188">
        <f t="shared" si="13"/>
        <v>6.25</v>
      </c>
      <c r="AU13" s="176"/>
      <c r="AV13" s="177">
        <v>1</v>
      </c>
      <c r="AW13" s="177">
        <v>1</v>
      </c>
      <c r="AX13" s="177">
        <v>1</v>
      </c>
      <c r="AY13" s="177">
        <v>1</v>
      </c>
      <c r="AZ13" s="177">
        <v>1</v>
      </c>
      <c r="BA13" s="177"/>
      <c r="BB13" s="177"/>
      <c r="BC13" s="177"/>
      <c r="BD13" s="178"/>
      <c r="BE13" s="188">
        <f t="shared" si="14"/>
        <v>6.25</v>
      </c>
      <c r="BF13" s="190">
        <f t="shared" si="15"/>
        <v>23.416666666666668</v>
      </c>
      <c r="BG13" s="191">
        <f t="shared" si="16"/>
        <v>0</v>
      </c>
      <c r="BH13" s="192">
        <f t="shared" si="17"/>
        <v>23.416666666666668</v>
      </c>
    </row>
    <row r="14" spans="1:60" s="97" customFormat="1" ht="19.5" customHeight="1">
      <c r="A14" s="81" t="s">
        <v>72</v>
      </c>
      <c r="B14" s="207" t="s">
        <v>53</v>
      </c>
      <c r="C14" s="176"/>
      <c r="D14" s="177">
        <v>1</v>
      </c>
      <c r="E14" s="177">
        <v>1</v>
      </c>
      <c r="F14" s="177">
        <v>1</v>
      </c>
      <c r="G14" s="177">
        <v>1</v>
      </c>
      <c r="H14" s="177"/>
      <c r="I14" s="177"/>
      <c r="J14" s="177"/>
      <c r="K14" s="177"/>
      <c r="L14" s="178"/>
      <c r="M14" s="188">
        <f t="shared" si="10"/>
        <v>5.250000000000001</v>
      </c>
      <c r="N14" s="176"/>
      <c r="O14" s="177">
        <v>1</v>
      </c>
      <c r="P14" s="177"/>
      <c r="Q14" s="177">
        <v>1</v>
      </c>
      <c r="R14" s="177">
        <v>1</v>
      </c>
      <c r="S14" s="177"/>
      <c r="T14" s="177"/>
      <c r="U14" s="177"/>
      <c r="V14" s="177"/>
      <c r="W14" s="178"/>
      <c r="X14" s="188">
        <f t="shared" si="11"/>
        <v>3.6666666666666683</v>
      </c>
      <c r="Y14" s="176"/>
      <c r="Z14" s="177"/>
      <c r="AA14" s="177"/>
      <c r="AB14" s="177"/>
      <c r="AC14" s="177"/>
      <c r="AD14" s="177"/>
      <c r="AE14" s="177"/>
      <c r="AF14" s="177"/>
      <c r="AG14" s="177"/>
      <c r="AH14" s="178"/>
      <c r="AI14" s="188">
        <f t="shared" si="12"/>
        <v>0</v>
      </c>
      <c r="AJ14" s="176"/>
      <c r="AK14" s="177"/>
      <c r="AL14" s="177"/>
      <c r="AM14" s="177"/>
      <c r="AN14" s="177"/>
      <c r="AO14" s="177"/>
      <c r="AP14" s="177"/>
      <c r="AQ14" s="177"/>
      <c r="AR14" s="177"/>
      <c r="AS14" s="178"/>
      <c r="AT14" s="188">
        <f t="shared" si="13"/>
        <v>0</v>
      </c>
      <c r="AU14" s="176"/>
      <c r="AV14" s="177"/>
      <c r="AW14" s="177"/>
      <c r="AX14" s="177"/>
      <c r="AY14" s="177"/>
      <c r="AZ14" s="177"/>
      <c r="BA14" s="177"/>
      <c r="BB14" s="177"/>
      <c r="BC14" s="177"/>
      <c r="BD14" s="178"/>
      <c r="BE14" s="188">
        <f t="shared" si="14"/>
        <v>0</v>
      </c>
      <c r="BF14" s="190">
        <f t="shared" si="15"/>
        <v>0</v>
      </c>
      <c r="BG14" s="191">
        <f t="shared" si="16"/>
        <v>8.91666666666667</v>
      </c>
      <c r="BH14" s="192">
        <f t="shared" si="17"/>
        <v>8.91666666666667</v>
      </c>
    </row>
    <row r="15" spans="1:60" s="97" customFormat="1" ht="19.5" customHeight="1">
      <c r="A15" s="81" t="s">
        <v>111</v>
      </c>
      <c r="B15" s="207" t="s">
        <v>53</v>
      </c>
      <c r="C15" s="176"/>
      <c r="D15" s="177"/>
      <c r="E15" s="177"/>
      <c r="F15" s="177"/>
      <c r="G15" s="177"/>
      <c r="H15" s="177"/>
      <c r="I15" s="177"/>
      <c r="J15" s="177"/>
      <c r="K15" s="177"/>
      <c r="L15" s="178"/>
      <c r="M15" s="188">
        <f t="shared" si="10"/>
        <v>0</v>
      </c>
      <c r="N15" s="176"/>
      <c r="O15" s="177"/>
      <c r="P15" s="177"/>
      <c r="Q15" s="177"/>
      <c r="R15" s="177"/>
      <c r="S15" s="177"/>
      <c r="T15" s="177"/>
      <c r="U15" s="177"/>
      <c r="V15" s="177"/>
      <c r="W15" s="178"/>
      <c r="X15" s="188">
        <f t="shared" si="11"/>
        <v>0</v>
      </c>
      <c r="Y15" s="176"/>
      <c r="Z15" s="177"/>
      <c r="AA15" s="177"/>
      <c r="AB15" s="177"/>
      <c r="AC15" s="177"/>
      <c r="AD15" s="177"/>
      <c r="AE15" s="177"/>
      <c r="AF15" s="177"/>
      <c r="AG15" s="177"/>
      <c r="AH15" s="178"/>
      <c r="AI15" s="188">
        <f t="shared" si="12"/>
        <v>0</v>
      </c>
      <c r="AJ15" s="176"/>
      <c r="AK15" s="177"/>
      <c r="AL15" s="177"/>
      <c r="AM15" s="177"/>
      <c r="AN15" s="177"/>
      <c r="AO15" s="177"/>
      <c r="AP15" s="177"/>
      <c r="AQ15" s="177"/>
      <c r="AR15" s="177"/>
      <c r="AS15" s="178"/>
      <c r="AT15" s="188">
        <f t="shared" si="13"/>
        <v>0</v>
      </c>
      <c r="AU15" s="176"/>
      <c r="AV15" s="177"/>
      <c r="AW15" s="177"/>
      <c r="AX15" s="177"/>
      <c r="AY15" s="177"/>
      <c r="AZ15" s="177"/>
      <c r="BA15" s="177"/>
      <c r="BB15" s="177"/>
      <c r="BC15" s="177"/>
      <c r="BD15" s="178"/>
      <c r="BE15" s="188">
        <f t="shared" si="14"/>
        <v>0</v>
      </c>
      <c r="BF15" s="190">
        <f t="shared" si="15"/>
        <v>0</v>
      </c>
      <c r="BG15" s="191">
        <f t="shared" si="16"/>
        <v>0</v>
      </c>
      <c r="BH15" s="192">
        <f t="shared" si="17"/>
        <v>0</v>
      </c>
    </row>
    <row r="16" spans="1:60" s="97" customFormat="1" ht="19.5" customHeight="1">
      <c r="A16" s="81" t="s">
        <v>112</v>
      </c>
      <c r="B16" s="207" t="s">
        <v>53</v>
      </c>
      <c r="C16" s="176"/>
      <c r="D16" s="177"/>
      <c r="E16" s="177"/>
      <c r="F16" s="177"/>
      <c r="G16" s="177"/>
      <c r="H16" s="177"/>
      <c r="I16" s="177"/>
      <c r="J16" s="177"/>
      <c r="K16" s="177"/>
      <c r="L16" s="178"/>
      <c r="M16" s="188">
        <f t="shared" si="10"/>
        <v>0</v>
      </c>
      <c r="N16" s="176"/>
      <c r="O16" s="177"/>
      <c r="P16" s="177"/>
      <c r="Q16" s="177"/>
      <c r="R16" s="177"/>
      <c r="S16" s="177"/>
      <c r="T16" s="177"/>
      <c r="U16" s="177"/>
      <c r="V16" s="177"/>
      <c r="W16" s="178"/>
      <c r="X16" s="188">
        <f t="shared" si="11"/>
        <v>0</v>
      </c>
      <c r="Y16" s="176"/>
      <c r="Z16" s="177"/>
      <c r="AA16" s="177"/>
      <c r="AB16" s="177"/>
      <c r="AC16" s="177"/>
      <c r="AD16" s="177"/>
      <c r="AE16" s="177"/>
      <c r="AF16" s="177"/>
      <c r="AG16" s="177"/>
      <c r="AH16" s="178"/>
      <c r="AI16" s="188">
        <f t="shared" si="12"/>
        <v>0</v>
      </c>
      <c r="AJ16" s="176"/>
      <c r="AK16" s="177"/>
      <c r="AL16" s="177"/>
      <c r="AM16" s="177"/>
      <c r="AN16" s="177"/>
      <c r="AO16" s="177"/>
      <c r="AP16" s="177"/>
      <c r="AQ16" s="177"/>
      <c r="AR16" s="177"/>
      <c r="AS16" s="178"/>
      <c r="AT16" s="188">
        <f t="shared" si="13"/>
        <v>0</v>
      </c>
      <c r="AU16" s="176"/>
      <c r="AV16" s="177"/>
      <c r="AW16" s="177"/>
      <c r="AX16" s="177"/>
      <c r="AY16" s="177"/>
      <c r="AZ16" s="177"/>
      <c r="BA16" s="177"/>
      <c r="BB16" s="177"/>
      <c r="BC16" s="177"/>
      <c r="BD16" s="178"/>
      <c r="BE16" s="188">
        <f t="shared" si="14"/>
        <v>0</v>
      </c>
      <c r="BF16" s="190">
        <f t="shared" si="15"/>
        <v>0</v>
      </c>
      <c r="BG16" s="191">
        <f t="shared" si="16"/>
        <v>0</v>
      </c>
      <c r="BH16" s="192">
        <f t="shared" si="17"/>
        <v>0</v>
      </c>
    </row>
    <row r="17" spans="1:60" s="97" customFormat="1" ht="19.5" customHeight="1">
      <c r="A17" s="82" t="s">
        <v>113</v>
      </c>
      <c r="B17" s="207" t="s">
        <v>53</v>
      </c>
      <c r="C17" s="179"/>
      <c r="D17" s="180"/>
      <c r="E17" s="180"/>
      <c r="F17" s="180"/>
      <c r="G17" s="180"/>
      <c r="H17" s="180"/>
      <c r="I17" s="180"/>
      <c r="J17" s="180"/>
      <c r="K17" s="180"/>
      <c r="L17" s="181"/>
      <c r="M17" s="189">
        <f t="shared" si="10"/>
        <v>0</v>
      </c>
      <c r="N17" s="179"/>
      <c r="O17" s="180"/>
      <c r="P17" s="180"/>
      <c r="Q17" s="180"/>
      <c r="R17" s="180"/>
      <c r="S17" s="180"/>
      <c r="T17" s="180"/>
      <c r="U17" s="180"/>
      <c r="V17" s="180"/>
      <c r="W17" s="181"/>
      <c r="X17" s="189">
        <f t="shared" si="11"/>
        <v>0</v>
      </c>
      <c r="Y17" s="179"/>
      <c r="Z17" s="180"/>
      <c r="AA17" s="180"/>
      <c r="AB17" s="180"/>
      <c r="AC17" s="180"/>
      <c r="AD17" s="180"/>
      <c r="AE17" s="180"/>
      <c r="AF17" s="180"/>
      <c r="AG17" s="180"/>
      <c r="AH17" s="181"/>
      <c r="AI17" s="189">
        <f t="shared" si="12"/>
        <v>0</v>
      </c>
      <c r="AJ17" s="179"/>
      <c r="AK17" s="180"/>
      <c r="AL17" s="180"/>
      <c r="AM17" s="180"/>
      <c r="AN17" s="180"/>
      <c r="AO17" s="180"/>
      <c r="AP17" s="180"/>
      <c r="AQ17" s="180"/>
      <c r="AR17" s="180"/>
      <c r="AS17" s="181"/>
      <c r="AT17" s="189">
        <f t="shared" si="13"/>
        <v>0</v>
      </c>
      <c r="AU17" s="179"/>
      <c r="AV17" s="180"/>
      <c r="AW17" s="180"/>
      <c r="AX17" s="180"/>
      <c r="AY17" s="180"/>
      <c r="AZ17" s="180"/>
      <c r="BA17" s="180"/>
      <c r="BB17" s="180"/>
      <c r="BC17" s="180"/>
      <c r="BD17" s="181"/>
      <c r="BE17" s="189">
        <f t="shared" si="14"/>
        <v>0</v>
      </c>
      <c r="BF17" s="193">
        <f t="shared" si="15"/>
        <v>0</v>
      </c>
      <c r="BG17" s="194">
        <f t="shared" si="16"/>
        <v>0</v>
      </c>
      <c r="BH17" s="195">
        <f t="shared" si="17"/>
        <v>0</v>
      </c>
    </row>
    <row r="18" spans="1:60" s="213" customFormat="1" ht="19.5" customHeight="1">
      <c r="A18" s="80" t="s">
        <v>63</v>
      </c>
      <c r="B18" s="107"/>
      <c r="C18" s="209"/>
      <c r="D18" s="210"/>
      <c r="E18" s="210"/>
      <c r="F18" s="210"/>
      <c r="G18" s="210"/>
      <c r="H18" s="210"/>
      <c r="I18" s="210"/>
      <c r="J18" s="210"/>
      <c r="K18" s="210"/>
      <c r="L18" s="211"/>
      <c r="M18" s="214"/>
      <c r="N18" s="209"/>
      <c r="O18" s="210"/>
      <c r="P18" s="210"/>
      <c r="Q18" s="210"/>
      <c r="R18" s="210"/>
      <c r="S18" s="210"/>
      <c r="T18" s="210"/>
      <c r="U18" s="210"/>
      <c r="V18" s="210"/>
      <c r="W18" s="211"/>
      <c r="X18" s="214"/>
      <c r="Y18" s="209"/>
      <c r="Z18" s="210"/>
      <c r="AA18" s="210"/>
      <c r="AB18" s="210"/>
      <c r="AC18" s="210"/>
      <c r="AD18" s="210"/>
      <c r="AE18" s="210"/>
      <c r="AF18" s="210"/>
      <c r="AG18" s="210"/>
      <c r="AH18" s="211"/>
      <c r="AI18" s="214"/>
      <c r="AJ18" s="209"/>
      <c r="AK18" s="210"/>
      <c r="AL18" s="210"/>
      <c r="AM18" s="210"/>
      <c r="AN18" s="210"/>
      <c r="AO18" s="210"/>
      <c r="AP18" s="210"/>
      <c r="AQ18" s="210"/>
      <c r="AR18" s="210"/>
      <c r="AS18" s="211"/>
      <c r="AT18" s="214"/>
      <c r="AU18" s="209"/>
      <c r="AV18" s="210"/>
      <c r="AW18" s="210"/>
      <c r="AX18" s="210"/>
      <c r="AY18" s="210"/>
      <c r="AZ18" s="210"/>
      <c r="BA18" s="210"/>
      <c r="BB18" s="210"/>
      <c r="BC18" s="210"/>
      <c r="BD18" s="211"/>
      <c r="BE18" s="214"/>
      <c r="BF18" s="209"/>
      <c r="BG18" s="210"/>
      <c r="BH18" s="211"/>
    </row>
    <row r="19" spans="1:60" s="54" customFormat="1" ht="19.5" customHeight="1">
      <c r="A19" s="81" t="s">
        <v>16</v>
      </c>
      <c r="B19" s="108"/>
      <c r="C19" s="99"/>
      <c r="D19" s="100"/>
      <c r="E19" s="100"/>
      <c r="F19" s="100"/>
      <c r="G19" s="100"/>
      <c r="H19" s="100"/>
      <c r="I19" s="101"/>
      <c r="J19" s="101"/>
      <c r="K19" s="101"/>
      <c r="L19" s="102"/>
      <c r="M19" s="188">
        <f>SUM(M12:M17)</f>
        <v>17.166666666666668</v>
      </c>
      <c r="N19" s="99"/>
      <c r="O19" s="100"/>
      <c r="P19" s="100"/>
      <c r="Q19" s="100"/>
      <c r="R19" s="100"/>
      <c r="S19" s="100"/>
      <c r="T19" s="101"/>
      <c r="U19" s="101"/>
      <c r="V19" s="101"/>
      <c r="W19" s="102"/>
      <c r="X19" s="188">
        <f>SUM(X12:X17)</f>
        <v>15.583333333333336</v>
      </c>
      <c r="Y19" s="99"/>
      <c r="Z19" s="100"/>
      <c r="AA19" s="100"/>
      <c r="AB19" s="100"/>
      <c r="AC19" s="100"/>
      <c r="AD19" s="100"/>
      <c r="AE19" s="101"/>
      <c r="AF19" s="101"/>
      <c r="AG19" s="101"/>
      <c r="AH19" s="102"/>
      <c r="AI19" s="188">
        <f>SUM(AI12:AI17)</f>
        <v>7.249999999999999</v>
      </c>
      <c r="AJ19" s="99"/>
      <c r="AK19" s="100"/>
      <c r="AL19" s="100"/>
      <c r="AM19" s="100"/>
      <c r="AN19" s="100"/>
      <c r="AO19" s="100"/>
      <c r="AP19" s="101"/>
      <c r="AQ19" s="101"/>
      <c r="AR19" s="101"/>
      <c r="AS19" s="102"/>
      <c r="AT19" s="188">
        <f>SUM(AT12:AT17)</f>
        <v>11.916666666666668</v>
      </c>
      <c r="AU19" s="99"/>
      <c r="AV19" s="100"/>
      <c r="AW19" s="100"/>
      <c r="AX19" s="100"/>
      <c r="AY19" s="100"/>
      <c r="AZ19" s="100"/>
      <c r="BA19" s="101"/>
      <c r="BB19" s="101"/>
      <c r="BC19" s="101"/>
      <c r="BD19" s="102"/>
      <c r="BE19" s="188">
        <f>SUM(BE12:BE17)</f>
        <v>8</v>
      </c>
      <c r="BF19" s="190">
        <f>SUM(BF12:BF17)</f>
        <v>51</v>
      </c>
      <c r="BG19" s="191">
        <f>SUM(BG12:BG17)</f>
        <v>8.91666666666667</v>
      </c>
      <c r="BH19" s="192">
        <f>SUM(BH12:BH17)</f>
        <v>59.91666666666667</v>
      </c>
    </row>
    <row r="20" spans="1:60" s="54" customFormat="1" ht="30" customHeight="1">
      <c r="A20" s="139" t="s">
        <v>31</v>
      </c>
      <c r="B20" s="108"/>
      <c r="C20" s="224"/>
      <c r="D20" s="225"/>
      <c r="E20" s="225"/>
      <c r="F20" s="225"/>
      <c r="G20" s="225"/>
      <c r="H20" s="225"/>
      <c r="I20" s="226"/>
      <c r="J20" s="226"/>
      <c r="K20" s="226"/>
      <c r="L20" s="227"/>
      <c r="M20" s="223"/>
      <c r="N20" s="224"/>
      <c r="O20" s="225"/>
      <c r="P20" s="225"/>
      <c r="Q20" s="225"/>
      <c r="R20" s="225"/>
      <c r="S20" s="225"/>
      <c r="T20" s="226"/>
      <c r="U20" s="226"/>
      <c r="V20" s="226"/>
      <c r="W20" s="227"/>
      <c r="X20" s="223"/>
      <c r="Y20" s="224"/>
      <c r="Z20" s="225"/>
      <c r="AA20" s="225"/>
      <c r="AB20" s="225"/>
      <c r="AC20" s="225"/>
      <c r="AD20" s="225"/>
      <c r="AE20" s="226"/>
      <c r="AF20" s="226"/>
      <c r="AG20" s="226"/>
      <c r="AH20" s="227"/>
      <c r="AI20" s="223"/>
      <c r="AJ20" s="224"/>
      <c r="AK20" s="225"/>
      <c r="AL20" s="225"/>
      <c r="AM20" s="225"/>
      <c r="AN20" s="225"/>
      <c r="AO20" s="225"/>
      <c r="AP20" s="226"/>
      <c r="AQ20" s="226"/>
      <c r="AR20" s="226"/>
      <c r="AS20" s="227"/>
      <c r="AT20" s="223"/>
      <c r="AU20" s="99"/>
      <c r="AV20" s="100"/>
      <c r="AW20" s="100"/>
      <c r="AX20" s="100"/>
      <c r="AY20" s="100"/>
      <c r="AZ20" s="100"/>
      <c r="BA20" s="101"/>
      <c r="BB20" s="101"/>
      <c r="BC20" s="101"/>
      <c r="BD20" s="102"/>
      <c r="BE20" s="98"/>
      <c r="BF20" s="145"/>
      <c r="BG20" s="157"/>
      <c r="BH20" s="196">
        <f>BF19/BH19</f>
        <v>0.8511821974965229</v>
      </c>
    </row>
    <row r="21" spans="1:60" s="54" customFormat="1" ht="19.5" customHeight="1">
      <c r="A21" s="81" t="s">
        <v>114</v>
      </c>
      <c r="B21" s="108"/>
      <c r="C21" s="200">
        <f aca="true" t="shared" si="18" ref="C21:L21">IF(C10=0,"",C10/SUM(C12:C17))</f>
        <v>8</v>
      </c>
      <c r="D21" s="201">
        <f t="shared" si="18"/>
        <v>7.333333333333333</v>
      </c>
      <c r="E21" s="201">
        <f t="shared" si="18"/>
        <v>3</v>
      </c>
      <c r="F21" s="201">
        <f t="shared" si="18"/>
        <v>8.333333333333334</v>
      </c>
      <c r="G21" s="201">
        <f t="shared" si="18"/>
        <v>8.333333333333334</v>
      </c>
      <c r="H21" s="201">
        <f t="shared" si="18"/>
        <v>8</v>
      </c>
      <c r="I21" s="201">
        <f t="shared" si="18"/>
      </c>
      <c r="J21" s="201">
        <f t="shared" si="18"/>
      </c>
      <c r="K21" s="201">
        <f t="shared" si="18"/>
      </c>
      <c r="L21" s="202">
        <f t="shared" si="18"/>
      </c>
      <c r="M21" s="188">
        <f>IF(M22=0,"",M22/M19)</f>
        <v>6.985436893203883</v>
      </c>
      <c r="N21" s="200">
        <f aca="true" t="shared" si="19" ref="N21:W21">IF(N10=0,"",N10/SUM(N12:N17))</f>
        <v>11</v>
      </c>
      <c r="O21" s="201">
        <f t="shared" si="19"/>
        <v>9.333333333333334</v>
      </c>
      <c r="P21" s="201">
        <f t="shared" si="19"/>
        <v>9</v>
      </c>
      <c r="Q21" s="201">
        <f t="shared" si="19"/>
        <v>8.333333333333334</v>
      </c>
      <c r="R21" s="201">
        <f t="shared" si="19"/>
        <v>8.333333333333334</v>
      </c>
      <c r="S21" s="201">
        <f t="shared" si="19"/>
        <v>7</v>
      </c>
      <c r="T21" s="201">
        <f t="shared" si="19"/>
      </c>
      <c r="U21" s="201">
        <f t="shared" si="19"/>
      </c>
      <c r="V21" s="201">
        <f t="shared" si="19"/>
      </c>
      <c r="W21" s="202">
        <f t="shared" si="19"/>
      </c>
      <c r="X21" s="188">
        <f>IF(X22=0,"",X22/X19)</f>
        <v>8.737967914438503</v>
      </c>
      <c r="Y21" s="200">
        <f aca="true" t="shared" si="20" ref="Y21:AH21">IF(Y10=0,"",Y10/SUM(Y12:Y17))</f>
        <v>7</v>
      </c>
      <c r="Z21" s="201">
        <f t="shared" si="20"/>
        <v>9</v>
      </c>
      <c r="AA21" s="201">
        <f t="shared" si="20"/>
        <v>2</v>
      </c>
      <c r="AB21" s="201">
        <f t="shared" si="20"/>
        <v>9</v>
      </c>
      <c r="AC21" s="201">
        <f t="shared" si="20"/>
        <v>9</v>
      </c>
      <c r="AD21" s="201">
        <f t="shared" si="20"/>
        <v>6</v>
      </c>
      <c r="AE21" s="201">
        <f t="shared" si="20"/>
      </c>
      <c r="AF21" s="201">
        <f t="shared" si="20"/>
      </c>
      <c r="AG21" s="201">
        <f t="shared" si="20"/>
      </c>
      <c r="AH21" s="202">
        <f t="shared" si="20"/>
      </c>
      <c r="AI21" s="188">
        <f>IF(AI22=0,"",AI22/AI19)</f>
        <v>6.781609195402299</v>
      </c>
      <c r="AJ21" s="200">
        <f aca="true" t="shared" si="21" ref="AJ21:AS21">IF(AJ10=0,"",AJ10/SUM(AJ12:AJ17))</f>
        <v>5</v>
      </c>
      <c r="AK21" s="201">
        <f t="shared" si="21"/>
        <v>10</v>
      </c>
      <c r="AL21" s="201">
        <f t="shared" si="21"/>
        <v>4</v>
      </c>
      <c r="AM21" s="201">
        <f t="shared" si="21"/>
        <v>8.5</v>
      </c>
      <c r="AN21" s="201">
        <f t="shared" si="21"/>
        <v>8.5</v>
      </c>
      <c r="AO21" s="201">
        <f t="shared" si="21"/>
        <v>5.5</v>
      </c>
      <c r="AP21" s="201">
        <f t="shared" si="21"/>
      </c>
      <c r="AQ21" s="201">
        <f t="shared" si="21"/>
      </c>
      <c r="AR21" s="201">
        <f t="shared" si="21"/>
      </c>
      <c r="AS21" s="202">
        <f t="shared" si="21"/>
      </c>
      <c r="AT21" s="188">
        <f>IF(AT22=0,"",AT22/AT19)</f>
        <v>7.545454545454545</v>
      </c>
      <c r="AU21" s="200">
        <f aca="true" t="shared" si="22" ref="AU21:BD21">IF(AU10=0,"",AU10/SUM(AU12:AU17))</f>
      </c>
      <c r="AV21" s="201">
        <f t="shared" si="22"/>
        <v>6</v>
      </c>
      <c r="AW21" s="201">
        <f t="shared" si="22"/>
        <v>2</v>
      </c>
      <c r="AX21" s="201">
        <f t="shared" si="22"/>
        <v>9</v>
      </c>
      <c r="AY21" s="201">
        <f t="shared" si="22"/>
        <v>9</v>
      </c>
      <c r="AZ21" s="201">
        <f t="shared" si="22"/>
        <v>5</v>
      </c>
      <c r="BA21" s="201">
        <f t="shared" si="22"/>
      </c>
      <c r="BB21" s="201">
        <f t="shared" si="22"/>
      </c>
      <c r="BC21" s="201">
        <f t="shared" si="22"/>
      </c>
      <c r="BD21" s="202">
        <f t="shared" si="22"/>
      </c>
      <c r="BE21" s="188">
        <f>IF(BE22=0,"",BE22/BE19)</f>
        <v>5.802083333333335</v>
      </c>
      <c r="BF21" s="136"/>
      <c r="BG21" s="151"/>
      <c r="BH21" s="197">
        <f>BH22/BH19</f>
        <v>7.369958275382476</v>
      </c>
    </row>
    <row r="22" spans="1:60" s="66" customFormat="1" ht="19.5" customHeight="1">
      <c r="A22" s="83" t="s">
        <v>64</v>
      </c>
      <c r="B22" s="109"/>
      <c r="C22" s="200">
        <f aca="true" t="shared" si="23" ref="C22:L22">C10*C9</f>
        <v>7.999999999999993</v>
      </c>
      <c r="D22" s="201">
        <f t="shared" si="23"/>
        <v>38.50000000000001</v>
      </c>
      <c r="E22" s="201">
        <f t="shared" si="23"/>
        <v>9.499999999999998</v>
      </c>
      <c r="F22" s="201">
        <f t="shared" si="23"/>
        <v>24.99999999999998</v>
      </c>
      <c r="G22" s="201">
        <f t="shared" si="23"/>
        <v>22.916666666666718</v>
      </c>
      <c r="H22" s="201">
        <f t="shared" si="23"/>
        <v>15.999999999999986</v>
      </c>
      <c r="I22" s="191">
        <f t="shared" si="23"/>
        <v>0</v>
      </c>
      <c r="J22" s="191">
        <f t="shared" si="23"/>
        <v>0</v>
      </c>
      <c r="K22" s="191">
        <f t="shared" si="23"/>
        <v>0</v>
      </c>
      <c r="L22" s="191">
        <f t="shared" si="23"/>
        <v>0</v>
      </c>
      <c r="M22" s="188">
        <f>SUM(C22:L22)</f>
        <v>119.91666666666667</v>
      </c>
      <c r="N22" s="200">
        <f aca="true" t="shared" si="24" ref="N22:W22">N10*N9</f>
        <v>10.99999999999999</v>
      </c>
      <c r="O22" s="201">
        <f t="shared" si="24"/>
        <v>49.000000000000014</v>
      </c>
      <c r="P22" s="201">
        <f t="shared" si="24"/>
        <v>14.249999999999996</v>
      </c>
      <c r="Q22" s="201">
        <f t="shared" si="24"/>
        <v>24.99999999999998</v>
      </c>
      <c r="R22" s="201">
        <f t="shared" si="24"/>
        <v>22.916666666666718</v>
      </c>
      <c r="S22" s="201">
        <f t="shared" si="24"/>
        <v>13.999999999999988</v>
      </c>
      <c r="T22" s="191">
        <f t="shared" si="24"/>
        <v>0</v>
      </c>
      <c r="U22" s="191">
        <f t="shared" si="24"/>
        <v>0</v>
      </c>
      <c r="V22" s="191">
        <f t="shared" si="24"/>
        <v>0</v>
      </c>
      <c r="W22" s="191">
        <f t="shared" si="24"/>
        <v>0</v>
      </c>
      <c r="X22" s="188">
        <f>SUM(N22:W22)</f>
        <v>136.16666666666669</v>
      </c>
      <c r="Y22" s="200">
        <f aca="true" t="shared" si="25" ref="Y22:AH22">Y10*Y9</f>
        <v>6.999999999999994</v>
      </c>
      <c r="Z22" s="201">
        <f t="shared" si="25"/>
        <v>15.750000000000004</v>
      </c>
      <c r="AA22" s="201">
        <f t="shared" si="25"/>
        <v>3.166666666666666</v>
      </c>
      <c r="AB22" s="201">
        <f t="shared" si="25"/>
        <v>8.999999999999993</v>
      </c>
      <c r="AC22" s="201">
        <f t="shared" si="25"/>
        <v>8.250000000000018</v>
      </c>
      <c r="AD22" s="201">
        <f t="shared" si="25"/>
        <v>5.999999999999995</v>
      </c>
      <c r="AE22" s="191">
        <f t="shared" si="25"/>
        <v>0</v>
      </c>
      <c r="AF22" s="191">
        <f t="shared" si="25"/>
        <v>0</v>
      </c>
      <c r="AG22" s="191">
        <f t="shared" si="25"/>
        <v>0</v>
      </c>
      <c r="AH22" s="191">
        <f t="shared" si="25"/>
        <v>0</v>
      </c>
      <c r="AI22" s="188">
        <f>SUM(Y22:AH22)</f>
        <v>49.166666666666664</v>
      </c>
      <c r="AJ22" s="200">
        <f aca="true" t="shared" si="26" ref="AJ22:AS22">AJ10*AJ9</f>
        <v>4.999999999999996</v>
      </c>
      <c r="AK22" s="201">
        <f t="shared" si="26"/>
        <v>35.00000000000001</v>
      </c>
      <c r="AL22" s="201">
        <f t="shared" si="26"/>
        <v>6.333333333333332</v>
      </c>
      <c r="AM22" s="201">
        <f t="shared" si="26"/>
        <v>16.999999999999986</v>
      </c>
      <c r="AN22" s="201">
        <f t="shared" si="26"/>
        <v>15.583333333333368</v>
      </c>
      <c r="AO22" s="201">
        <f t="shared" si="26"/>
        <v>10.99999999999999</v>
      </c>
      <c r="AP22" s="191">
        <f t="shared" si="26"/>
        <v>0</v>
      </c>
      <c r="AQ22" s="191">
        <f t="shared" si="26"/>
        <v>0</v>
      </c>
      <c r="AR22" s="191">
        <f t="shared" si="26"/>
        <v>0</v>
      </c>
      <c r="AS22" s="191">
        <f t="shared" si="26"/>
        <v>0</v>
      </c>
      <c r="AT22" s="188">
        <f>SUM(AJ22:AS22)</f>
        <v>89.91666666666667</v>
      </c>
      <c r="AU22" s="200">
        <f aca="true" t="shared" si="27" ref="AU22:BD22">AU10*AU9</f>
        <v>0</v>
      </c>
      <c r="AV22" s="201">
        <f t="shared" si="27"/>
        <v>21.000000000000007</v>
      </c>
      <c r="AW22" s="201">
        <f t="shared" si="27"/>
        <v>3.166666666666666</v>
      </c>
      <c r="AX22" s="201">
        <f t="shared" si="27"/>
        <v>8.999999999999993</v>
      </c>
      <c r="AY22" s="201">
        <f t="shared" si="27"/>
        <v>8.250000000000018</v>
      </c>
      <c r="AZ22" s="201">
        <f t="shared" si="27"/>
        <v>4.999999999999996</v>
      </c>
      <c r="BA22" s="191">
        <f t="shared" si="27"/>
        <v>0</v>
      </c>
      <c r="BB22" s="191">
        <f t="shared" si="27"/>
        <v>0</v>
      </c>
      <c r="BC22" s="191">
        <f t="shared" si="27"/>
        <v>0</v>
      </c>
      <c r="BD22" s="191">
        <f t="shared" si="27"/>
        <v>0</v>
      </c>
      <c r="BE22" s="188">
        <f>SUM(AU22:BD22)</f>
        <v>46.41666666666668</v>
      </c>
      <c r="BF22" s="136"/>
      <c r="BG22" s="151"/>
      <c r="BH22" s="197">
        <f>M22+X22+AI22+AT22+BE22</f>
        <v>441.5833333333334</v>
      </c>
    </row>
    <row r="23" spans="1:60" s="54" customFormat="1" ht="19.5" customHeight="1">
      <c r="A23" s="81" t="s">
        <v>74</v>
      </c>
      <c r="B23" s="108"/>
      <c r="C23" s="113"/>
      <c r="D23" s="203">
        <f>D10</f>
        <v>22</v>
      </c>
      <c r="E23" s="114"/>
      <c r="F23" s="114"/>
      <c r="G23" s="114"/>
      <c r="H23" s="114"/>
      <c r="I23" s="114"/>
      <c r="J23" s="114"/>
      <c r="K23" s="114"/>
      <c r="L23" s="115"/>
      <c r="M23" s="220"/>
      <c r="N23" s="113"/>
      <c r="O23" s="203">
        <f>O10</f>
        <v>28</v>
      </c>
      <c r="P23" s="114"/>
      <c r="Q23" s="114"/>
      <c r="R23" s="114"/>
      <c r="S23" s="114"/>
      <c r="T23" s="114"/>
      <c r="U23" s="114"/>
      <c r="V23" s="114"/>
      <c r="W23" s="115"/>
      <c r="X23" s="220"/>
      <c r="Y23" s="113"/>
      <c r="Z23" s="203">
        <f>Z10</f>
        <v>9</v>
      </c>
      <c r="AA23" s="114"/>
      <c r="AB23" s="114"/>
      <c r="AC23" s="114"/>
      <c r="AD23" s="114"/>
      <c r="AE23" s="114"/>
      <c r="AF23" s="114"/>
      <c r="AG23" s="114"/>
      <c r="AH23" s="115"/>
      <c r="AI23" s="220"/>
      <c r="AJ23" s="113"/>
      <c r="AK23" s="203">
        <f>AK10</f>
        <v>20</v>
      </c>
      <c r="AL23" s="114"/>
      <c r="AM23" s="114"/>
      <c r="AN23" s="114"/>
      <c r="AO23" s="114"/>
      <c r="AP23" s="114"/>
      <c r="AQ23" s="114"/>
      <c r="AR23" s="114"/>
      <c r="AS23" s="115"/>
      <c r="AT23" s="220"/>
      <c r="AU23" s="113"/>
      <c r="AV23" s="203">
        <f>AV10</f>
        <v>12</v>
      </c>
      <c r="AW23" s="114"/>
      <c r="AX23" s="114"/>
      <c r="AY23" s="114"/>
      <c r="AZ23" s="114"/>
      <c r="BA23" s="114"/>
      <c r="BB23" s="114"/>
      <c r="BC23" s="114"/>
      <c r="BD23" s="115"/>
      <c r="BE23" s="92"/>
      <c r="BF23" s="137"/>
      <c r="BG23" s="152"/>
      <c r="BH23" s="198">
        <f>SUM(C23:BD23)</f>
        <v>91</v>
      </c>
    </row>
    <row r="24" spans="1:60" s="54" customFormat="1" ht="19.5" customHeight="1">
      <c r="A24" s="81" t="s">
        <v>15</v>
      </c>
      <c r="B24" s="108"/>
      <c r="C24" s="204">
        <f>C10</f>
        <v>8</v>
      </c>
      <c r="D24" s="114"/>
      <c r="E24" s="114"/>
      <c r="F24" s="114"/>
      <c r="G24" s="114"/>
      <c r="H24" s="114"/>
      <c r="I24" s="114"/>
      <c r="J24" s="114"/>
      <c r="K24" s="114"/>
      <c r="L24" s="115"/>
      <c r="M24" s="220"/>
      <c r="N24" s="204">
        <f>N10</f>
        <v>11</v>
      </c>
      <c r="O24" s="114"/>
      <c r="P24" s="114"/>
      <c r="Q24" s="114"/>
      <c r="R24" s="114"/>
      <c r="S24" s="114"/>
      <c r="T24" s="114"/>
      <c r="U24" s="114"/>
      <c r="V24" s="114"/>
      <c r="W24" s="115"/>
      <c r="X24" s="220"/>
      <c r="Y24" s="204">
        <f>Y10</f>
        <v>7</v>
      </c>
      <c r="Z24" s="114"/>
      <c r="AA24" s="114"/>
      <c r="AB24" s="114"/>
      <c r="AC24" s="114"/>
      <c r="AD24" s="114"/>
      <c r="AE24" s="114"/>
      <c r="AF24" s="114"/>
      <c r="AG24" s="114"/>
      <c r="AH24" s="115"/>
      <c r="AI24" s="220"/>
      <c r="AJ24" s="204">
        <f>AJ10</f>
        <v>5</v>
      </c>
      <c r="AK24" s="114"/>
      <c r="AL24" s="114"/>
      <c r="AM24" s="114"/>
      <c r="AN24" s="114"/>
      <c r="AO24" s="114"/>
      <c r="AP24" s="114"/>
      <c r="AQ24" s="114"/>
      <c r="AR24" s="114"/>
      <c r="AS24" s="115"/>
      <c r="AT24" s="220"/>
      <c r="AU24" s="204">
        <f>AU10</f>
        <v>0</v>
      </c>
      <c r="AV24" s="114"/>
      <c r="AW24" s="114"/>
      <c r="AX24" s="114"/>
      <c r="AY24" s="114"/>
      <c r="AZ24" s="114"/>
      <c r="BA24" s="114"/>
      <c r="BB24" s="114"/>
      <c r="BC24" s="114"/>
      <c r="BD24" s="115"/>
      <c r="BE24" s="92"/>
      <c r="BF24" s="137"/>
      <c r="BG24" s="152"/>
      <c r="BH24" s="198">
        <f>SUM(C24:BD24)</f>
        <v>31</v>
      </c>
    </row>
    <row r="25" spans="1:60" s="54" customFormat="1" ht="19.5" customHeight="1">
      <c r="A25" s="304" t="s">
        <v>78</v>
      </c>
      <c r="B25" s="110"/>
      <c r="C25" s="205">
        <f>C10*0.1</f>
        <v>0.8</v>
      </c>
      <c r="D25" s="206">
        <f>D10*0.5</f>
        <v>11</v>
      </c>
      <c r="E25" s="206">
        <f>MAX(E10:H10)*0.4</f>
        <v>10</v>
      </c>
      <c r="F25" s="104"/>
      <c r="G25" s="104"/>
      <c r="H25" s="104"/>
      <c r="I25" s="105"/>
      <c r="J25" s="105"/>
      <c r="K25" s="105"/>
      <c r="L25" s="106"/>
      <c r="M25" s="189">
        <f>SUM(C25:L25)</f>
        <v>21.8</v>
      </c>
      <c r="N25" s="205">
        <f>N10*0.1</f>
        <v>1.1</v>
      </c>
      <c r="O25" s="206">
        <f>O10*0.5</f>
        <v>14</v>
      </c>
      <c r="P25" s="206">
        <f>MAX(P10:S10)*0.4</f>
        <v>10</v>
      </c>
      <c r="Q25" s="104"/>
      <c r="R25" s="104"/>
      <c r="S25" s="104"/>
      <c r="T25" s="105"/>
      <c r="U25" s="105"/>
      <c r="V25" s="105"/>
      <c r="W25" s="106"/>
      <c r="X25" s="189">
        <f>SUM(N25:W25)</f>
        <v>25.1</v>
      </c>
      <c r="Y25" s="205">
        <f>Y10*0.1</f>
        <v>0.7000000000000001</v>
      </c>
      <c r="Z25" s="206">
        <f>Z10*0.5</f>
        <v>4.5</v>
      </c>
      <c r="AA25" s="206">
        <f>MAX(AA10:AD10)*0.4</f>
        <v>3.6</v>
      </c>
      <c r="AB25" s="104"/>
      <c r="AC25" s="104"/>
      <c r="AD25" s="104"/>
      <c r="AE25" s="105"/>
      <c r="AF25" s="105"/>
      <c r="AG25" s="105"/>
      <c r="AH25" s="106"/>
      <c r="AI25" s="189">
        <f>SUM(Y25:AH25)</f>
        <v>8.8</v>
      </c>
      <c r="AJ25" s="205">
        <f>AJ10*0.1</f>
        <v>0.5</v>
      </c>
      <c r="AK25" s="206">
        <f>AK10*0.5</f>
        <v>10</v>
      </c>
      <c r="AL25" s="206">
        <f>MAX(AL10:AO10)*0.4</f>
        <v>6.800000000000001</v>
      </c>
      <c r="AM25" s="104"/>
      <c r="AN25" s="104"/>
      <c r="AO25" s="104"/>
      <c r="AP25" s="105"/>
      <c r="AQ25" s="105"/>
      <c r="AR25" s="105"/>
      <c r="AS25" s="106"/>
      <c r="AT25" s="189">
        <f>SUM(AJ25:AS25)</f>
        <v>17.3</v>
      </c>
      <c r="AU25" s="205">
        <f>AU10*0.1</f>
        <v>0</v>
      </c>
      <c r="AV25" s="206">
        <f>AV10*0.5</f>
        <v>6</v>
      </c>
      <c r="AW25" s="206">
        <f>MAX(AW10:AZ10)*0.4</f>
        <v>3.6</v>
      </c>
      <c r="AX25" s="104"/>
      <c r="AY25" s="104"/>
      <c r="AZ25" s="104"/>
      <c r="BA25" s="105"/>
      <c r="BB25" s="105"/>
      <c r="BC25" s="105"/>
      <c r="BD25" s="106"/>
      <c r="BE25" s="189">
        <f>SUM(AU25:BD25)</f>
        <v>9.6</v>
      </c>
      <c r="BF25" s="138"/>
      <c r="BG25" s="153"/>
      <c r="BH25" s="199">
        <f>(M25+X25+AI25+AT25+BE25)/5</f>
        <v>16.52</v>
      </c>
    </row>
    <row r="26" s="54" customFormat="1" ht="10.5"/>
    <row r="27" s="54" customFormat="1" ht="10.5">
      <c r="A27" s="54" t="s">
        <v>87</v>
      </c>
    </row>
    <row r="28" s="54" customFormat="1" ht="10.5">
      <c r="A28" s="54" t="s">
        <v>73</v>
      </c>
    </row>
    <row r="29" s="54" customFormat="1" ht="10.5">
      <c r="A29" s="54" t="s">
        <v>51</v>
      </c>
    </row>
    <row r="30" s="54" customFormat="1" ht="10.5"/>
    <row r="31" s="54" customFormat="1" ht="10.5"/>
    <row r="32" s="54" customFormat="1" ht="10.5">
      <c r="A32" s="46" t="s">
        <v>28</v>
      </c>
    </row>
    <row r="33" s="54" customFormat="1" ht="10.5"/>
    <row r="34" s="54" customFormat="1" ht="10.5"/>
    <row r="35" s="54" customFormat="1" ht="10.5"/>
    <row r="36" s="54" customFormat="1" ht="10.5"/>
    <row r="37" s="54" customFormat="1" ht="10.5"/>
    <row r="38" s="54" customFormat="1" ht="10.5"/>
    <row r="39" s="54" customFormat="1" ht="10.5"/>
    <row r="40" s="54" customFormat="1" ht="10.5"/>
    <row r="41" s="54" customFormat="1" ht="10.5"/>
    <row r="42" s="54" customFormat="1" ht="10.5"/>
    <row r="43" s="54" customFormat="1" ht="10.5"/>
    <row r="44" s="54" customFormat="1" ht="10.5"/>
    <row r="45" s="54" customFormat="1" ht="10.5"/>
    <row r="46" s="54" customFormat="1" ht="10.5"/>
    <row r="47" s="54" customFormat="1" ht="10.5"/>
    <row r="48" s="54" customFormat="1" ht="10.5"/>
    <row r="49" s="54" customFormat="1" ht="10.5"/>
    <row r="50" s="54" customFormat="1" ht="10.5"/>
    <row r="51" s="54" customFormat="1" ht="10.5"/>
    <row r="52" s="54" customFormat="1" ht="10.5"/>
    <row r="53" s="54" customFormat="1" ht="10.5"/>
    <row r="54" s="54" customFormat="1" ht="10.5"/>
    <row r="55" s="54" customFormat="1" ht="10.5"/>
    <row r="56" s="54" customFormat="1" ht="10.5"/>
    <row r="57" s="54" customFormat="1" ht="10.5"/>
    <row r="58" s="54" customFormat="1" ht="10.5"/>
    <row r="59" s="54" customFormat="1" ht="10.5"/>
    <row r="60" s="54" customFormat="1" ht="10.5"/>
    <row r="61" s="54" customFormat="1" ht="10.5"/>
    <row r="62" s="54" customFormat="1" ht="10.5"/>
    <row r="63" s="54" customFormat="1" ht="10.5"/>
  </sheetData>
  <printOptions/>
  <pageMargins left="0.984251968503937" right="0.5905511811023623" top="0.7874015748031497" bottom="0.5905511811023623" header="0.5118110236220472" footer="0.5118110236220472"/>
  <pageSetup fitToHeight="1" fitToWidth="1"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3"/>
  <sheetViews>
    <sheetView zoomScale="150" zoomScaleNormal="150" zoomScaleSheetLayoutView="150" workbookViewId="0" topLeftCell="A1">
      <pane xSplit="1" topLeftCell="B1" activePane="topRight" state="frozen"/>
      <selection pane="topLeft" activeCell="A50" sqref="A1:G50"/>
      <selection pane="topRight" activeCell="A13" sqref="A13"/>
    </sheetView>
  </sheetViews>
  <sheetFormatPr defaultColWidth="11.00390625" defaultRowHeight="12"/>
  <cols>
    <col min="1" max="1" width="28.375" style="12" customWidth="1"/>
    <col min="2" max="2" width="5.50390625" style="12" customWidth="1"/>
    <col min="3" max="3" width="4.125" style="2" customWidth="1"/>
    <col min="4" max="12" width="4.50390625" style="2" bestFit="1" customWidth="1"/>
    <col min="13" max="13" width="6.50390625" style="230" bestFit="1" customWidth="1"/>
    <col min="14" max="14" width="4.375" style="54" customWidth="1"/>
    <col min="15" max="23" width="4.50390625" style="54" customWidth="1"/>
    <col min="24" max="24" width="6.50390625" style="233" bestFit="1" customWidth="1"/>
    <col min="25" max="25" width="4.375" style="54" customWidth="1"/>
    <col min="26" max="26" width="4.50390625" style="54" bestFit="1" customWidth="1"/>
    <col min="27" max="27" width="3.50390625" style="54" bestFit="1" customWidth="1"/>
    <col min="28" max="29" width="4.50390625" style="2" bestFit="1" customWidth="1"/>
    <col min="30" max="30" width="3.50390625" style="2" bestFit="1" customWidth="1"/>
    <col min="31" max="34" width="4.50390625" style="2" bestFit="1" customWidth="1"/>
    <col min="35" max="35" width="5.625" style="230" customWidth="1"/>
    <col min="36" max="36" width="3.875" style="2" customWidth="1"/>
    <col min="37" max="45" width="4.50390625" style="2" bestFit="1" customWidth="1"/>
    <col min="46" max="46" width="6.50390625" style="230" bestFit="1" customWidth="1"/>
    <col min="47" max="47" width="3.875" style="2" customWidth="1"/>
    <col min="48" max="48" width="4.50390625" style="2" bestFit="1" customWidth="1"/>
    <col min="49" max="49" width="3.875" style="2" customWidth="1"/>
    <col min="50" max="51" width="4.50390625" style="2" bestFit="1" customWidth="1"/>
    <col min="52" max="52" width="3.875" style="2" customWidth="1"/>
    <col min="53" max="56" width="4.50390625" style="2" bestFit="1" customWidth="1"/>
    <col min="57" max="57" width="5.625" style="2" customWidth="1"/>
    <col min="58" max="60" width="5.875" style="2" customWidth="1"/>
    <col min="61" max="16384" width="10.875" style="2" customWidth="1"/>
  </cols>
  <sheetData>
    <row r="1" ht="33">
      <c r="A1" s="42" t="str">
        <f>Basiswerte!A1</f>
        <v>Budgettool zur Berechnung der Betriebskosten eines Tagesschulangebotes</v>
      </c>
    </row>
    <row r="2" ht="12">
      <c r="A2" s="12" t="str">
        <f>Basiswerte!A2</f>
        <v>Variante selber kochen</v>
      </c>
    </row>
    <row r="3" spans="1:2" ht="15">
      <c r="A3" s="57"/>
      <c r="B3" s="57"/>
    </row>
    <row r="4" spans="1:46" s="1" customFormat="1" ht="15">
      <c r="A4" s="57" t="s">
        <v>160</v>
      </c>
      <c r="B4" s="57"/>
      <c r="M4" s="231"/>
      <c r="N4" s="54"/>
      <c r="O4" s="54"/>
      <c r="P4" s="54"/>
      <c r="Q4" s="54"/>
      <c r="R4" s="54"/>
      <c r="S4" s="54"/>
      <c r="T4" s="54"/>
      <c r="U4" s="54"/>
      <c r="V4" s="54"/>
      <c r="W4" s="54"/>
      <c r="X4" s="233"/>
      <c r="Y4" s="54"/>
      <c r="Z4" s="54"/>
      <c r="AA4" s="54"/>
      <c r="AI4" s="231"/>
      <c r="AT4" s="231"/>
    </row>
    <row r="6" spans="3:59" ht="12">
      <c r="C6" s="77" t="s">
        <v>188</v>
      </c>
      <c r="D6" s="78"/>
      <c r="E6" s="78"/>
      <c r="F6" s="78"/>
      <c r="G6" s="78"/>
      <c r="H6" s="78"/>
      <c r="I6" s="78"/>
      <c r="J6" s="78"/>
      <c r="K6" s="78"/>
      <c r="L6" s="78"/>
      <c r="M6" s="232"/>
      <c r="N6" s="77" t="s">
        <v>21</v>
      </c>
      <c r="O6" s="78"/>
      <c r="P6" s="78"/>
      <c r="Q6" s="78"/>
      <c r="R6" s="78"/>
      <c r="S6" s="78"/>
      <c r="T6" s="78"/>
      <c r="U6" s="78"/>
      <c r="V6" s="78"/>
      <c r="W6" s="78"/>
      <c r="X6" s="232"/>
      <c r="Y6" s="77" t="s">
        <v>22</v>
      </c>
      <c r="Z6" s="78"/>
      <c r="AA6" s="78"/>
      <c r="AB6" s="78"/>
      <c r="AC6" s="78"/>
      <c r="AD6" s="78"/>
      <c r="AE6" s="78"/>
      <c r="AF6" s="78"/>
      <c r="AG6" s="78"/>
      <c r="AH6" s="78"/>
      <c r="AI6" s="232"/>
      <c r="AJ6" s="77" t="s">
        <v>23</v>
      </c>
      <c r="AK6" s="78"/>
      <c r="AL6" s="78"/>
      <c r="AM6" s="78"/>
      <c r="AN6" s="78"/>
      <c r="AO6" s="78"/>
      <c r="AP6" s="78"/>
      <c r="AQ6" s="78"/>
      <c r="AR6" s="78"/>
      <c r="AS6" s="78"/>
      <c r="AT6" s="232"/>
      <c r="AU6" s="77" t="s">
        <v>24</v>
      </c>
      <c r="AV6" s="78"/>
      <c r="AW6" s="78"/>
      <c r="AX6" s="78"/>
      <c r="AY6" s="78"/>
      <c r="AZ6" s="78"/>
      <c r="BA6" s="78"/>
      <c r="BB6" s="78"/>
      <c r="BC6" s="78"/>
      <c r="BD6" s="78"/>
      <c r="BE6" s="79"/>
      <c r="BF6" s="78" t="s">
        <v>1</v>
      </c>
      <c r="BG6" s="78"/>
    </row>
    <row r="7" spans="1:60" s="8" customFormat="1" ht="33.75">
      <c r="A7" s="8" t="s">
        <v>18</v>
      </c>
      <c r="C7" s="170">
        <v>0.2916666666666667</v>
      </c>
      <c r="D7" s="171">
        <v>0.4895833333333333</v>
      </c>
      <c r="E7" s="171">
        <f aca="true" t="shared" si="0" ref="E7:L7">D8</f>
        <v>0.5625</v>
      </c>
      <c r="F7" s="171">
        <f t="shared" si="0"/>
        <v>0.6284722222222222</v>
      </c>
      <c r="G7" s="171">
        <f t="shared" si="0"/>
        <v>0.6701388888888888</v>
      </c>
      <c r="H7" s="171">
        <f t="shared" si="0"/>
        <v>0.7083333333333334</v>
      </c>
      <c r="I7" s="173">
        <f t="shared" si="0"/>
        <v>0.75</v>
      </c>
      <c r="J7" s="173">
        <f t="shared" si="0"/>
        <v>0.75</v>
      </c>
      <c r="K7" s="173">
        <f t="shared" si="0"/>
        <v>0.75</v>
      </c>
      <c r="L7" s="173">
        <f t="shared" si="0"/>
        <v>0.75</v>
      </c>
      <c r="M7" s="229"/>
      <c r="N7" s="170">
        <v>0.2916666666666667</v>
      </c>
      <c r="O7" s="171">
        <v>0.4895833333333333</v>
      </c>
      <c r="P7" s="171">
        <f aca="true" t="shared" si="1" ref="P7:W7">O8</f>
        <v>0.5625</v>
      </c>
      <c r="Q7" s="171">
        <f t="shared" si="1"/>
        <v>0.6284722222222222</v>
      </c>
      <c r="R7" s="171">
        <f t="shared" si="1"/>
        <v>0.6701388888888888</v>
      </c>
      <c r="S7" s="171">
        <f t="shared" si="1"/>
        <v>0.7083333333333334</v>
      </c>
      <c r="T7" s="173">
        <f t="shared" si="1"/>
        <v>0.75</v>
      </c>
      <c r="U7" s="173">
        <f t="shared" si="1"/>
        <v>0.75</v>
      </c>
      <c r="V7" s="173">
        <f t="shared" si="1"/>
        <v>0.75</v>
      </c>
      <c r="W7" s="173">
        <f t="shared" si="1"/>
        <v>0.75</v>
      </c>
      <c r="X7" s="229"/>
      <c r="Y7" s="172">
        <v>0.2916666666666667</v>
      </c>
      <c r="Z7" s="173">
        <v>0.4895833333333333</v>
      </c>
      <c r="AA7" s="173">
        <f aca="true" t="shared" si="2" ref="AA7:AH7">Z8</f>
        <v>0.5625</v>
      </c>
      <c r="AB7" s="173">
        <f t="shared" si="2"/>
        <v>0.6284722222222222</v>
      </c>
      <c r="AC7" s="173">
        <f t="shared" si="2"/>
        <v>0.6701388888888888</v>
      </c>
      <c r="AD7" s="173">
        <f t="shared" si="2"/>
        <v>0.7083333333333334</v>
      </c>
      <c r="AE7" s="173">
        <f t="shared" si="2"/>
        <v>0.75</v>
      </c>
      <c r="AF7" s="173">
        <f t="shared" si="2"/>
        <v>0.75</v>
      </c>
      <c r="AG7" s="173">
        <f t="shared" si="2"/>
        <v>0.75</v>
      </c>
      <c r="AH7" s="173">
        <f t="shared" si="2"/>
        <v>0.75</v>
      </c>
      <c r="AI7" s="229"/>
      <c r="AJ7" s="172">
        <v>0.2916666666666667</v>
      </c>
      <c r="AK7" s="173">
        <v>0.4895833333333333</v>
      </c>
      <c r="AL7" s="173">
        <f aca="true" t="shared" si="3" ref="AL7:AS7">AK8</f>
        <v>0.5625</v>
      </c>
      <c r="AM7" s="173">
        <f t="shared" si="3"/>
        <v>0.6284722222222222</v>
      </c>
      <c r="AN7" s="173">
        <f t="shared" si="3"/>
        <v>0.6701388888888888</v>
      </c>
      <c r="AO7" s="173">
        <f t="shared" si="3"/>
        <v>0.7083333333333334</v>
      </c>
      <c r="AP7" s="173">
        <f t="shared" si="3"/>
        <v>0.75</v>
      </c>
      <c r="AQ7" s="173">
        <f t="shared" si="3"/>
        <v>0.75</v>
      </c>
      <c r="AR7" s="173">
        <f t="shared" si="3"/>
        <v>0.75</v>
      </c>
      <c r="AS7" s="173">
        <f t="shared" si="3"/>
        <v>0.75</v>
      </c>
      <c r="AT7" s="229"/>
      <c r="AU7" s="172">
        <v>0.2916666666666667</v>
      </c>
      <c r="AV7" s="173">
        <v>0.4895833333333333</v>
      </c>
      <c r="AW7" s="173">
        <f aca="true" t="shared" si="4" ref="AW7:BD7">AV8</f>
        <v>0.5625</v>
      </c>
      <c r="AX7" s="173">
        <f t="shared" si="4"/>
        <v>0.6284722222222222</v>
      </c>
      <c r="AY7" s="173">
        <f t="shared" si="4"/>
        <v>0.6701388888888888</v>
      </c>
      <c r="AZ7" s="173">
        <f t="shared" si="4"/>
        <v>0.7083333333333334</v>
      </c>
      <c r="BA7" s="173">
        <f t="shared" si="4"/>
        <v>0.75</v>
      </c>
      <c r="BB7" s="173">
        <f t="shared" si="4"/>
        <v>0.75</v>
      </c>
      <c r="BC7" s="173">
        <f t="shared" si="4"/>
        <v>0.75</v>
      </c>
      <c r="BD7" s="173">
        <f t="shared" si="4"/>
        <v>0.75</v>
      </c>
      <c r="BE7" s="75"/>
      <c r="BF7" s="130"/>
      <c r="BG7" s="154"/>
      <c r="BH7" s="131"/>
    </row>
    <row r="8" spans="1:60" s="8" customFormat="1" ht="33.75">
      <c r="A8" s="8" t="s">
        <v>19</v>
      </c>
      <c r="C8" s="170">
        <v>0.3333333333333333</v>
      </c>
      <c r="D8" s="171">
        <v>0.5625</v>
      </c>
      <c r="E8" s="171">
        <v>0.6284722222222222</v>
      </c>
      <c r="F8" s="171">
        <v>0.6701388888888888</v>
      </c>
      <c r="G8" s="171">
        <v>0.7083333333333334</v>
      </c>
      <c r="H8" s="171">
        <v>0.75</v>
      </c>
      <c r="I8" s="173">
        <v>0.75</v>
      </c>
      <c r="J8" s="173">
        <v>0.75</v>
      </c>
      <c r="K8" s="173">
        <v>0.75</v>
      </c>
      <c r="L8" s="173">
        <v>0.75</v>
      </c>
      <c r="M8" s="229" t="s">
        <v>17</v>
      </c>
      <c r="N8" s="170">
        <v>0.3333333333333333</v>
      </c>
      <c r="O8" s="171">
        <v>0.5625</v>
      </c>
      <c r="P8" s="171">
        <v>0.6284722222222222</v>
      </c>
      <c r="Q8" s="171">
        <v>0.6701388888888888</v>
      </c>
      <c r="R8" s="171">
        <v>0.7083333333333334</v>
      </c>
      <c r="S8" s="171">
        <v>0.75</v>
      </c>
      <c r="T8" s="173">
        <v>0.75</v>
      </c>
      <c r="U8" s="173">
        <v>0.75</v>
      </c>
      <c r="V8" s="173">
        <v>0.75</v>
      </c>
      <c r="W8" s="173">
        <v>0.75</v>
      </c>
      <c r="X8" s="229" t="s">
        <v>17</v>
      </c>
      <c r="Y8" s="172">
        <v>0.3333333333333333</v>
      </c>
      <c r="Z8" s="173">
        <v>0.5625</v>
      </c>
      <c r="AA8" s="173">
        <v>0.6284722222222222</v>
      </c>
      <c r="AB8" s="173">
        <v>0.6701388888888888</v>
      </c>
      <c r="AC8" s="173">
        <v>0.7083333333333334</v>
      </c>
      <c r="AD8" s="173">
        <v>0.75</v>
      </c>
      <c r="AE8" s="173">
        <v>0.75</v>
      </c>
      <c r="AF8" s="173">
        <v>0.75</v>
      </c>
      <c r="AG8" s="173">
        <v>0.75</v>
      </c>
      <c r="AH8" s="173">
        <v>0.75</v>
      </c>
      <c r="AI8" s="229" t="s">
        <v>17</v>
      </c>
      <c r="AJ8" s="172">
        <v>0.3333333333333333</v>
      </c>
      <c r="AK8" s="173">
        <v>0.5625</v>
      </c>
      <c r="AL8" s="173">
        <v>0.6284722222222222</v>
      </c>
      <c r="AM8" s="173">
        <v>0.6701388888888888</v>
      </c>
      <c r="AN8" s="173">
        <v>0.7083333333333334</v>
      </c>
      <c r="AO8" s="173">
        <v>0.75</v>
      </c>
      <c r="AP8" s="173">
        <v>0.75</v>
      </c>
      <c r="AQ8" s="173">
        <v>0.75</v>
      </c>
      <c r="AR8" s="173">
        <v>0.75</v>
      </c>
      <c r="AS8" s="173">
        <v>0.75</v>
      </c>
      <c r="AT8" s="229" t="s">
        <v>17</v>
      </c>
      <c r="AU8" s="172">
        <v>0.3333333333333333</v>
      </c>
      <c r="AV8" s="173">
        <v>0.5625</v>
      </c>
      <c r="AW8" s="173">
        <v>0.6284722222222222</v>
      </c>
      <c r="AX8" s="173">
        <v>0.6701388888888888</v>
      </c>
      <c r="AY8" s="173">
        <v>0.7083333333333334</v>
      </c>
      <c r="AZ8" s="173">
        <v>0.75</v>
      </c>
      <c r="BA8" s="173">
        <v>0.75</v>
      </c>
      <c r="BB8" s="173">
        <v>0.75</v>
      </c>
      <c r="BC8" s="173">
        <v>0.75</v>
      </c>
      <c r="BD8" s="173">
        <v>0.75</v>
      </c>
      <c r="BE8" s="75" t="s">
        <v>17</v>
      </c>
      <c r="BF8" s="132"/>
      <c r="BG8" s="156" t="s">
        <v>2</v>
      </c>
      <c r="BH8" s="133"/>
    </row>
    <row r="9" spans="1:60" s="8" customFormat="1" ht="12">
      <c r="A9" s="65" t="s">
        <v>20</v>
      </c>
      <c r="B9" s="65"/>
      <c r="C9" s="182">
        <f aca="true" t="shared" si="5" ref="C9:L9">(C8-C7)*24</f>
        <v>0.9999999999999991</v>
      </c>
      <c r="D9" s="183">
        <f t="shared" si="5"/>
        <v>1.7500000000000004</v>
      </c>
      <c r="E9" s="183">
        <f t="shared" si="5"/>
        <v>1.583333333333333</v>
      </c>
      <c r="F9" s="183">
        <f t="shared" si="5"/>
        <v>0.9999999999999991</v>
      </c>
      <c r="G9" s="183">
        <f t="shared" si="5"/>
        <v>0.9166666666666687</v>
      </c>
      <c r="H9" s="183">
        <f t="shared" si="5"/>
        <v>0.9999999999999991</v>
      </c>
      <c r="I9" s="184">
        <f t="shared" si="5"/>
        <v>0</v>
      </c>
      <c r="J9" s="183">
        <f t="shared" si="5"/>
        <v>0</v>
      </c>
      <c r="K9" s="183">
        <f t="shared" si="5"/>
        <v>0</v>
      </c>
      <c r="L9" s="183">
        <f t="shared" si="5"/>
        <v>0</v>
      </c>
      <c r="M9" s="185">
        <f>SUM(C9:H9)</f>
        <v>7.249999999999999</v>
      </c>
      <c r="N9" s="182">
        <f aca="true" t="shared" si="6" ref="N9:W9">(N8-N7)*24</f>
        <v>0.9999999999999991</v>
      </c>
      <c r="O9" s="183">
        <f t="shared" si="6"/>
        <v>1.7500000000000004</v>
      </c>
      <c r="P9" s="183">
        <f t="shared" si="6"/>
        <v>1.583333333333333</v>
      </c>
      <c r="Q9" s="183">
        <f t="shared" si="6"/>
        <v>0.9999999999999991</v>
      </c>
      <c r="R9" s="183">
        <f t="shared" si="6"/>
        <v>0.9166666666666687</v>
      </c>
      <c r="S9" s="183">
        <f t="shared" si="6"/>
        <v>0.9999999999999991</v>
      </c>
      <c r="T9" s="184">
        <f t="shared" si="6"/>
        <v>0</v>
      </c>
      <c r="U9" s="183">
        <f t="shared" si="6"/>
        <v>0</v>
      </c>
      <c r="V9" s="183">
        <f t="shared" si="6"/>
        <v>0</v>
      </c>
      <c r="W9" s="183">
        <f t="shared" si="6"/>
        <v>0</v>
      </c>
      <c r="X9" s="185">
        <f>SUM(N9:S9)</f>
        <v>7.249999999999999</v>
      </c>
      <c r="Y9" s="182">
        <f aca="true" t="shared" si="7" ref="Y9:AH9">(Y8-Y7)*24</f>
        <v>0.9999999999999991</v>
      </c>
      <c r="Z9" s="183">
        <f t="shared" si="7"/>
        <v>1.7500000000000004</v>
      </c>
      <c r="AA9" s="183">
        <f t="shared" si="7"/>
        <v>1.583333333333333</v>
      </c>
      <c r="AB9" s="183">
        <f t="shared" si="7"/>
        <v>0.9999999999999991</v>
      </c>
      <c r="AC9" s="183">
        <f t="shared" si="7"/>
        <v>0.9166666666666687</v>
      </c>
      <c r="AD9" s="183">
        <f t="shared" si="7"/>
        <v>0.9999999999999991</v>
      </c>
      <c r="AE9" s="184">
        <f t="shared" si="7"/>
        <v>0</v>
      </c>
      <c r="AF9" s="183">
        <f t="shared" si="7"/>
        <v>0</v>
      </c>
      <c r="AG9" s="183">
        <f t="shared" si="7"/>
        <v>0</v>
      </c>
      <c r="AH9" s="183">
        <f t="shared" si="7"/>
        <v>0</v>
      </c>
      <c r="AI9" s="185">
        <f>SUM(Y9:AD9)</f>
        <v>7.249999999999999</v>
      </c>
      <c r="AJ9" s="182">
        <f aca="true" t="shared" si="8" ref="AJ9:AS9">(AJ8-AJ7)*24</f>
        <v>0.9999999999999991</v>
      </c>
      <c r="AK9" s="183">
        <f t="shared" si="8"/>
        <v>1.7500000000000004</v>
      </c>
      <c r="AL9" s="183">
        <f t="shared" si="8"/>
        <v>1.583333333333333</v>
      </c>
      <c r="AM9" s="183">
        <f t="shared" si="8"/>
        <v>0.9999999999999991</v>
      </c>
      <c r="AN9" s="183">
        <f t="shared" si="8"/>
        <v>0.9166666666666687</v>
      </c>
      <c r="AO9" s="186">
        <f t="shared" si="8"/>
        <v>0.9999999999999991</v>
      </c>
      <c r="AP9" s="184">
        <f t="shared" si="8"/>
        <v>0</v>
      </c>
      <c r="AQ9" s="183">
        <f t="shared" si="8"/>
        <v>0</v>
      </c>
      <c r="AR9" s="183">
        <f t="shared" si="8"/>
        <v>0</v>
      </c>
      <c r="AS9" s="183">
        <f t="shared" si="8"/>
        <v>0</v>
      </c>
      <c r="AT9" s="185">
        <f>SUM(AJ9:AO9)</f>
        <v>7.249999999999999</v>
      </c>
      <c r="AU9" s="182">
        <f aca="true" t="shared" si="9" ref="AU9:BD9">(AU8-AU7)*24</f>
        <v>0.9999999999999991</v>
      </c>
      <c r="AV9" s="183">
        <f t="shared" si="9"/>
        <v>1.7500000000000004</v>
      </c>
      <c r="AW9" s="183">
        <f t="shared" si="9"/>
        <v>1.583333333333333</v>
      </c>
      <c r="AX9" s="183">
        <f t="shared" si="9"/>
        <v>0.9999999999999991</v>
      </c>
      <c r="AY9" s="183">
        <f t="shared" si="9"/>
        <v>0.9166666666666687</v>
      </c>
      <c r="AZ9" s="183">
        <f t="shared" si="9"/>
        <v>0.9999999999999991</v>
      </c>
      <c r="BA9" s="184">
        <f t="shared" si="9"/>
        <v>0</v>
      </c>
      <c r="BB9" s="183">
        <f t="shared" si="9"/>
        <v>0</v>
      </c>
      <c r="BC9" s="183">
        <f t="shared" si="9"/>
        <v>0</v>
      </c>
      <c r="BD9" s="183">
        <f t="shared" si="9"/>
        <v>0</v>
      </c>
      <c r="BE9" s="185">
        <f>SUM(AU9:AZ9)</f>
        <v>7.249999999999999</v>
      </c>
      <c r="BF9" s="134"/>
      <c r="BG9" s="155"/>
      <c r="BH9" s="187">
        <f>AVERAGE(M9,X9,AI9,AT9,BE9)</f>
        <v>7.249999999999998</v>
      </c>
    </row>
    <row r="10" spans="1:60" s="8" customFormat="1" ht="25.5" customHeight="1">
      <c r="A10" s="84" t="s">
        <v>192</v>
      </c>
      <c r="B10" s="84"/>
      <c r="C10" s="85">
        <f>Nachfrage!C17</f>
        <v>12</v>
      </c>
      <c r="D10" s="86">
        <f>Nachfrage!D17</f>
        <v>32</v>
      </c>
      <c r="E10" s="86">
        <f>Nachfrage!E17</f>
        <v>9</v>
      </c>
      <c r="F10" s="86">
        <f>Nachfrage!F17</f>
        <v>36</v>
      </c>
      <c r="G10" s="86">
        <f>Nachfrage!G17</f>
        <v>36</v>
      </c>
      <c r="H10" s="86">
        <f>Nachfrage!H17</f>
        <v>24</v>
      </c>
      <c r="I10" s="86">
        <f>Nachfrage!I17</f>
        <v>0</v>
      </c>
      <c r="J10" s="86">
        <f>Nachfrage!J17</f>
        <v>0</v>
      </c>
      <c r="K10" s="86">
        <f>Nachfrage!K17</f>
        <v>0</v>
      </c>
      <c r="L10" s="86">
        <f>Nachfrage!L17</f>
        <v>0</v>
      </c>
      <c r="M10" s="228"/>
      <c r="N10" s="301">
        <f>Nachfrage!N17</f>
        <v>16</v>
      </c>
      <c r="O10" s="302">
        <f>Nachfrage!O17</f>
        <v>40</v>
      </c>
      <c r="P10" s="302">
        <f>Nachfrage!P17</f>
        <v>14</v>
      </c>
      <c r="Q10" s="302">
        <f>Nachfrage!Q17</f>
        <v>36</v>
      </c>
      <c r="R10" s="302">
        <f>Nachfrage!R17</f>
        <v>36</v>
      </c>
      <c r="S10" s="302">
        <f>Nachfrage!S17</f>
        <v>21</v>
      </c>
      <c r="T10" s="302">
        <f>Nachfrage!T17</f>
        <v>0</v>
      </c>
      <c r="U10" s="302">
        <f>Nachfrage!U17</f>
        <v>0</v>
      </c>
      <c r="V10" s="302">
        <f>Nachfrage!V17</f>
        <v>0</v>
      </c>
      <c r="W10" s="303">
        <f>Nachfrage!W17</f>
        <v>0</v>
      </c>
      <c r="X10" s="228"/>
      <c r="Y10" s="86">
        <f>Nachfrage!Y17</f>
        <v>10</v>
      </c>
      <c r="Z10" s="86">
        <f>Nachfrage!Z17</f>
        <v>13</v>
      </c>
      <c r="AA10" s="86">
        <f>Nachfrage!AA17</f>
        <v>4</v>
      </c>
      <c r="AB10" s="86">
        <f>Nachfrage!AB17</f>
        <v>13</v>
      </c>
      <c r="AC10" s="86">
        <f>Nachfrage!AC17</f>
        <v>13</v>
      </c>
      <c r="AD10" s="86">
        <f>Nachfrage!AD17</f>
        <v>9</v>
      </c>
      <c r="AE10" s="86">
        <f>Nachfrage!AE17</f>
        <v>0</v>
      </c>
      <c r="AF10" s="86">
        <f>Nachfrage!AF17</f>
        <v>0</v>
      </c>
      <c r="AG10" s="86">
        <f>Nachfrage!AG17</f>
        <v>0</v>
      </c>
      <c r="AH10" s="86">
        <f>Nachfrage!AH17</f>
        <v>0</v>
      </c>
      <c r="AI10" s="228"/>
      <c r="AJ10" s="85">
        <f>Nachfrage!AJ17</f>
        <v>8</v>
      </c>
      <c r="AK10" s="86">
        <f>Nachfrage!AK17</f>
        <v>29</v>
      </c>
      <c r="AL10" s="86">
        <f>Nachfrage!AL17</f>
        <v>7</v>
      </c>
      <c r="AM10" s="86">
        <f>Nachfrage!AM17</f>
        <v>25</v>
      </c>
      <c r="AN10" s="86">
        <f>Nachfrage!AN17</f>
        <v>25</v>
      </c>
      <c r="AO10" s="86">
        <f>Nachfrage!AO17</f>
        <v>17</v>
      </c>
      <c r="AP10" s="86">
        <f>Nachfrage!AP17</f>
        <v>0</v>
      </c>
      <c r="AQ10" s="86">
        <f>Nachfrage!AQ17</f>
        <v>0</v>
      </c>
      <c r="AR10" s="86">
        <f>Nachfrage!AR17</f>
        <v>0</v>
      </c>
      <c r="AS10" s="86">
        <f>Nachfrage!AS17</f>
        <v>0</v>
      </c>
      <c r="AT10" s="228"/>
      <c r="AU10" s="85">
        <f>Nachfrage!AU17</f>
        <v>5</v>
      </c>
      <c r="AV10" s="86">
        <f>Nachfrage!AV17</f>
        <v>18</v>
      </c>
      <c r="AW10" s="86">
        <f>Nachfrage!AW17</f>
        <v>4</v>
      </c>
      <c r="AX10" s="86">
        <f>Nachfrage!AX17</f>
        <v>14</v>
      </c>
      <c r="AY10" s="86">
        <f>Nachfrage!AY17</f>
        <v>14</v>
      </c>
      <c r="AZ10" s="86">
        <f>Nachfrage!AZ17</f>
        <v>8</v>
      </c>
      <c r="BA10" s="86">
        <f>Nachfrage!BA17</f>
        <v>0</v>
      </c>
      <c r="BB10" s="86">
        <f>Nachfrage!BB17</f>
        <v>0</v>
      </c>
      <c r="BC10" s="86">
        <f>Nachfrage!BC17</f>
        <v>0</v>
      </c>
      <c r="BD10" s="86">
        <f>Nachfrage!BD17</f>
        <v>0</v>
      </c>
      <c r="BE10" s="76"/>
      <c r="BF10" s="134"/>
      <c r="BG10" s="155"/>
      <c r="BH10" s="135"/>
    </row>
    <row r="11" spans="1:60" s="213" customFormat="1" ht="19.5" customHeight="1">
      <c r="A11" s="80" t="s">
        <v>75</v>
      </c>
      <c r="B11" s="107" t="s">
        <v>86</v>
      </c>
      <c r="C11" s="209"/>
      <c r="D11" s="210"/>
      <c r="E11" s="210"/>
      <c r="F11" s="210"/>
      <c r="G11" s="210"/>
      <c r="H11" s="210"/>
      <c r="I11" s="210"/>
      <c r="J11" s="210"/>
      <c r="K11" s="210"/>
      <c r="L11" s="211"/>
      <c r="M11" s="214"/>
      <c r="N11" s="209"/>
      <c r="O11" s="210"/>
      <c r="P11" s="210"/>
      <c r="Q11" s="210"/>
      <c r="R11" s="210"/>
      <c r="S11" s="210"/>
      <c r="T11" s="210"/>
      <c r="U11" s="210"/>
      <c r="V11" s="210"/>
      <c r="W11" s="211"/>
      <c r="X11" s="214"/>
      <c r="Y11" s="209"/>
      <c r="Z11" s="210"/>
      <c r="AA11" s="210"/>
      <c r="AB11" s="210"/>
      <c r="AC11" s="210"/>
      <c r="AD11" s="210"/>
      <c r="AE11" s="210"/>
      <c r="AF11" s="210"/>
      <c r="AG11" s="210"/>
      <c r="AH11" s="211"/>
      <c r="AI11" s="214"/>
      <c r="AJ11" s="209"/>
      <c r="AK11" s="210"/>
      <c r="AL11" s="210"/>
      <c r="AM11" s="210"/>
      <c r="AN11" s="210"/>
      <c r="AO11" s="210"/>
      <c r="AP11" s="210"/>
      <c r="AQ11" s="210"/>
      <c r="AR11" s="210"/>
      <c r="AS11" s="211"/>
      <c r="AT11" s="214"/>
      <c r="AU11" s="209"/>
      <c r="AV11" s="210"/>
      <c r="AW11" s="210"/>
      <c r="AX11" s="210"/>
      <c r="AY11" s="210"/>
      <c r="AZ11" s="210"/>
      <c r="BA11" s="210"/>
      <c r="BB11" s="210"/>
      <c r="BC11" s="210"/>
      <c r="BD11" s="211"/>
      <c r="BE11" s="214"/>
      <c r="BF11" s="209" t="s">
        <v>109</v>
      </c>
      <c r="BG11" s="210" t="s">
        <v>110</v>
      </c>
      <c r="BH11" s="211" t="s">
        <v>3</v>
      </c>
    </row>
    <row r="12" spans="1:60" s="97" customFormat="1" ht="19.5" customHeight="1">
      <c r="A12" s="81" t="s">
        <v>118</v>
      </c>
      <c r="B12" s="207" t="s">
        <v>52</v>
      </c>
      <c r="C12" s="176">
        <v>1</v>
      </c>
      <c r="D12" s="177">
        <v>1</v>
      </c>
      <c r="E12" s="177"/>
      <c r="F12" s="177">
        <v>1</v>
      </c>
      <c r="G12" s="177">
        <v>1</v>
      </c>
      <c r="H12" s="177">
        <v>1</v>
      </c>
      <c r="I12" s="177"/>
      <c r="J12" s="177"/>
      <c r="K12" s="177"/>
      <c r="L12" s="178"/>
      <c r="M12" s="188">
        <f aca="true" t="shared" si="10" ref="M12:M17">C12*C$9+D12*D$9+E$9*E12+F12*F$9+G12*G$9+H12*H$9+I12*I$9+J12*J$9+K12*K$9+L12*L$9</f>
        <v>5.666666666666667</v>
      </c>
      <c r="N12" s="176">
        <v>1</v>
      </c>
      <c r="O12" s="177">
        <v>1</v>
      </c>
      <c r="P12" s="177"/>
      <c r="Q12" s="177">
        <v>1</v>
      </c>
      <c r="R12" s="177">
        <v>1</v>
      </c>
      <c r="S12" s="177">
        <v>1</v>
      </c>
      <c r="T12" s="177"/>
      <c r="U12" s="177"/>
      <c r="V12" s="177"/>
      <c r="W12" s="178"/>
      <c r="X12" s="188">
        <f aca="true" t="shared" si="11" ref="X12:X17">N12*N$9+O12*O$9+P$9*P12+Q12*Q$9+R12*R$9+S12*S$9+T12*T$9+U12*U$9+V12*V$9+W12*W$9</f>
        <v>5.666666666666667</v>
      </c>
      <c r="Y12" s="176">
        <v>1</v>
      </c>
      <c r="Z12" s="177">
        <v>1</v>
      </c>
      <c r="AA12" s="177"/>
      <c r="AB12" s="177">
        <v>1</v>
      </c>
      <c r="AC12" s="177">
        <v>1</v>
      </c>
      <c r="AD12" s="177">
        <v>1</v>
      </c>
      <c r="AE12" s="177"/>
      <c r="AF12" s="177"/>
      <c r="AG12" s="177"/>
      <c r="AH12" s="178"/>
      <c r="AI12" s="188">
        <f aca="true" t="shared" si="12" ref="AI12:AI17">Y12*Y$9+Z12*Z$9+AA$9*AA12+AB12*AB$9+AC12*AC$9+AD12*AD$9+AE12*AE$9+AF12*AF$9+AG12*AG$9+AH12*AH$9</f>
        <v>5.666666666666667</v>
      </c>
      <c r="AJ12" s="176">
        <v>1</v>
      </c>
      <c r="AK12" s="177">
        <v>1</v>
      </c>
      <c r="AL12" s="177"/>
      <c r="AM12" s="177">
        <v>1</v>
      </c>
      <c r="AN12" s="177">
        <v>1</v>
      </c>
      <c r="AO12" s="177">
        <v>1</v>
      </c>
      <c r="AP12" s="177"/>
      <c r="AQ12" s="177"/>
      <c r="AR12" s="177"/>
      <c r="AS12" s="178"/>
      <c r="AT12" s="188">
        <f aca="true" t="shared" si="13" ref="AT12:AT17">AJ12*AJ$9+AK12*AK$9+AL$9*AL12+AM12*AM$9+AN12*AN$9+AO12*AO$9+AP12*AP$9+AQ12*AQ$9+AR12*AR$9+AS12*AS$9</f>
        <v>5.666666666666667</v>
      </c>
      <c r="AU12" s="176"/>
      <c r="AV12" s="177">
        <v>1</v>
      </c>
      <c r="AW12" s="177"/>
      <c r="AX12" s="177">
        <v>1</v>
      </c>
      <c r="AY12" s="177">
        <v>1</v>
      </c>
      <c r="AZ12" s="177">
        <v>1</v>
      </c>
      <c r="BA12" s="177"/>
      <c r="BB12" s="177"/>
      <c r="BC12" s="177"/>
      <c r="BD12" s="178"/>
      <c r="BE12" s="188">
        <f aca="true" t="shared" si="14" ref="BE12:BE17">AU12*AU$9+AV12*AV$9+AW$9*AW12+AX12*AX$9+AY12*AY$9+AZ12*AZ$9+BA12*BA$9+BB12*BB$9+BC12*BC$9+BD12*BD$9</f>
        <v>4.666666666666668</v>
      </c>
      <c r="BF12" s="190">
        <f aca="true" t="shared" si="15" ref="BF12:BF17">IF(B12="N",0,IF(B12="A",BH12,"Bitte Qualifikation in der Spalte B eintragen"))</f>
        <v>27.333333333333336</v>
      </c>
      <c r="BG12" s="191">
        <f aca="true" t="shared" si="16" ref="BG12:BG17">IF(B12="A",0,IF(B12="N",BH12,"Bitte Qualifikation in der Spalte B eintragen"))</f>
        <v>0</v>
      </c>
      <c r="BH12" s="192">
        <f aca="true" t="shared" si="17" ref="BH12:BH17">M12+X12+AI12+AT12+BE12</f>
        <v>27.333333333333336</v>
      </c>
    </row>
    <row r="13" spans="1:60" s="97" customFormat="1" ht="19.5" customHeight="1">
      <c r="A13" s="81" t="s">
        <v>141</v>
      </c>
      <c r="B13" s="207" t="s">
        <v>52</v>
      </c>
      <c r="C13" s="176"/>
      <c r="D13" s="177">
        <v>1</v>
      </c>
      <c r="E13" s="177">
        <v>1</v>
      </c>
      <c r="F13" s="177">
        <v>1</v>
      </c>
      <c r="G13" s="177">
        <v>1</v>
      </c>
      <c r="H13" s="177">
        <v>1</v>
      </c>
      <c r="I13" s="177"/>
      <c r="J13" s="177"/>
      <c r="K13" s="177"/>
      <c r="L13" s="178"/>
      <c r="M13" s="188">
        <f t="shared" si="10"/>
        <v>6.25</v>
      </c>
      <c r="N13" s="176"/>
      <c r="O13" s="177">
        <v>1</v>
      </c>
      <c r="P13" s="177">
        <v>1</v>
      </c>
      <c r="Q13" s="177">
        <v>1</v>
      </c>
      <c r="R13" s="177">
        <v>1</v>
      </c>
      <c r="S13" s="177">
        <v>1</v>
      </c>
      <c r="T13" s="177"/>
      <c r="U13" s="177"/>
      <c r="V13" s="177"/>
      <c r="W13" s="178"/>
      <c r="X13" s="188">
        <f t="shared" si="11"/>
        <v>6.25</v>
      </c>
      <c r="Y13" s="176"/>
      <c r="Z13" s="177"/>
      <c r="AA13" s="177"/>
      <c r="AB13" s="177"/>
      <c r="AC13" s="177"/>
      <c r="AD13" s="177"/>
      <c r="AE13" s="177"/>
      <c r="AF13" s="177"/>
      <c r="AG13" s="177"/>
      <c r="AH13" s="178"/>
      <c r="AI13" s="188">
        <f t="shared" si="12"/>
        <v>0</v>
      </c>
      <c r="AJ13" s="176"/>
      <c r="AK13" s="177">
        <v>1</v>
      </c>
      <c r="AL13" s="177">
        <v>1</v>
      </c>
      <c r="AM13" s="177">
        <v>1</v>
      </c>
      <c r="AN13" s="177">
        <v>1</v>
      </c>
      <c r="AO13" s="177">
        <v>1</v>
      </c>
      <c r="AP13" s="177"/>
      <c r="AQ13" s="177"/>
      <c r="AR13" s="177"/>
      <c r="AS13" s="178"/>
      <c r="AT13" s="188">
        <f t="shared" si="13"/>
        <v>6.25</v>
      </c>
      <c r="AU13" s="176">
        <v>1</v>
      </c>
      <c r="AV13" s="177">
        <v>1</v>
      </c>
      <c r="AW13" s="177">
        <v>1</v>
      </c>
      <c r="AX13" s="177">
        <v>1</v>
      </c>
      <c r="AY13" s="177">
        <v>1</v>
      </c>
      <c r="AZ13" s="177"/>
      <c r="BA13" s="177"/>
      <c r="BB13" s="177"/>
      <c r="BC13" s="177"/>
      <c r="BD13" s="178"/>
      <c r="BE13" s="188">
        <f t="shared" si="14"/>
        <v>6.25</v>
      </c>
      <c r="BF13" s="190">
        <f t="shared" si="15"/>
        <v>25</v>
      </c>
      <c r="BG13" s="191">
        <f t="shared" si="16"/>
        <v>0</v>
      </c>
      <c r="BH13" s="192">
        <f t="shared" si="17"/>
        <v>25</v>
      </c>
    </row>
    <row r="14" spans="1:60" s="97" customFormat="1" ht="19.5" customHeight="1">
      <c r="A14" s="81" t="s">
        <v>72</v>
      </c>
      <c r="B14" s="207" t="s">
        <v>53</v>
      </c>
      <c r="C14" s="176">
        <v>1</v>
      </c>
      <c r="D14" s="177">
        <v>1</v>
      </c>
      <c r="E14" s="177">
        <v>1</v>
      </c>
      <c r="F14" s="177">
        <v>1</v>
      </c>
      <c r="G14" s="177">
        <v>1</v>
      </c>
      <c r="H14" s="177">
        <v>1</v>
      </c>
      <c r="I14" s="177"/>
      <c r="J14" s="177"/>
      <c r="K14" s="177"/>
      <c r="L14" s="178"/>
      <c r="M14" s="188">
        <f t="shared" si="10"/>
        <v>7.249999999999999</v>
      </c>
      <c r="N14" s="176">
        <v>1</v>
      </c>
      <c r="O14" s="177">
        <v>1</v>
      </c>
      <c r="P14" s="177">
        <v>1</v>
      </c>
      <c r="Q14" s="177">
        <v>1</v>
      </c>
      <c r="R14" s="177">
        <v>1</v>
      </c>
      <c r="S14" s="177">
        <v>1</v>
      </c>
      <c r="T14" s="177"/>
      <c r="U14" s="177"/>
      <c r="V14" s="177"/>
      <c r="W14" s="178"/>
      <c r="X14" s="188">
        <f t="shared" si="11"/>
        <v>7.249999999999999</v>
      </c>
      <c r="Y14" s="176"/>
      <c r="Z14" s="177">
        <v>1</v>
      </c>
      <c r="AA14" s="177">
        <v>1</v>
      </c>
      <c r="AB14" s="177">
        <v>1</v>
      </c>
      <c r="AC14" s="177">
        <v>1</v>
      </c>
      <c r="AD14" s="177"/>
      <c r="AE14" s="177"/>
      <c r="AF14" s="177"/>
      <c r="AG14" s="177"/>
      <c r="AH14" s="178"/>
      <c r="AI14" s="188">
        <f t="shared" si="12"/>
        <v>5.250000000000001</v>
      </c>
      <c r="AJ14" s="176"/>
      <c r="AK14" s="177">
        <v>1</v>
      </c>
      <c r="AL14" s="177"/>
      <c r="AM14" s="177">
        <v>1</v>
      </c>
      <c r="AN14" s="177">
        <v>1</v>
      </c>
      <c r="AO14" s="177"/>
      <c r="AP14" s="177"/>
      <c r="AQ14" s="177"/>
      <c r="AR14" s="177"/>
      <c r="AS14" s="178"/>
      <c r="AT14" s="188">
        <f t="shared" si="13"/>
        <v>3.6666666666666683</v>
      </c>
      <c r="AU14" s="176"/>
      <c r="AV14" s="177"/>
      <c r="AW14" s="177"/>
      <c r="AX14" s="177"/>
      <c r="AY14" s="177"/>
      <c r="AZ14" s="177"/>
      <c r="BA14" s="177"/>
      <c r="BB14" s="177"/>
      <c r="BC14" s="177"/>
      <c r="BD14" s="178"/>
      <c r="BE14" s="188">
        <f t="shared" si="14"/>
        <v>0</v>
      </c>
      <c r="BF14" s="190">
        <f t="shared" si="15"/>
        <v>0</v>
      </c>
      <c r="BG14" s="191">
        <f t="shared" si="16"/>
        <v>23.416666666666668</v>
      </c>
      <c r="BH14" s="192">
        <f t="shared" si="17"/>
        <v>23.416666666666668</v>
      </c>
    </row>
    <row r="15" spans="1:60" s="97" customFormat="1" ht="19.5" customHeight="1">
      <c r="A15" s="81" t="s">
        <v>111</v>
      </c>
      <c r="B15" s="207" t="s">
        <v>53</v>
      </c>
      <c r="C15" s="176"/>
      <c r="D15" s="177">
        <v>1</v>
      </c>
      <c r="E15" s="177"/>
      <c r="F15" s="177">
        <v>1</v>
      </c>
      <c r="G15" s="177">
        <v>1</v>
      </c>
      <c r="H15" s="177"/>
      <c r="I15" s="177"/>
      <c r="J15" s="177"/>
      <c r="K15" s="177"/>
      <c r="L15" s="178"/>
      <c r="M15" s="188">
        <f t="shared" si="10"/>
        <v>3.6666666666666683</v>
      </c>
      <c r="N15" s="176"/>
      <c r="O15" s="177">
        <v>1</v>
      </c>
      <c r="P15" s="177"/>
      <c r="Q15" s="177">
        <v>1</v>
      </c>
      <c r="R15" s="177">
        <v>1</v>
      </c>
      <c r="S15" s="177"/>
      <c r="T15" s="177"/>
      <c r="U15" s="177"/>
      <c r="V15" s="177"/>
      <c r="W15" s="178"/>
      <c r="X15" s="188">
        <f t="shared" si="11"/>
        <v>3.6666666666666683</v>
      </c>
      <c r="Y15" s="176"/>
      <c r="Z15" s="177"/>
      <c r="AA15" s="177"/>
      <c r="AB15" s="177"/>
      <c r="AC15" s="177"/>
      <c r="AD15" s="177"/>
      <c r="AE15" s="177"/>
      <c r="AF15" s="177"/>
      <c r="AG15" s="177"/>
      <c r="AH15" s="178"/>
      <c r="AI15" s="188">
        <f t="shared" si="12"/>
        <v>0</v>
      </c>
      <c r="AJ15" s="176"/>
      <c r="AK15" s="177"/>
      <c r="AL15" s="177"/>
      <c r="AM15" s="177"/>
      <c r="AN15" s="177"/>
      <c r="AO15" s="177"/>
      <c r="AP15" s="177"/>
      <c r="AQ15" s="177"/>
      <c r="AR15" s="177"/>
      <c r="AS15" s="178"/>
      <c r="AT15" s="188">
        <f t="shared" si="13"/>
        <v>0</v>
      </c>
      <c r="AU15" s="176"/>
      <c r="AV15" s="177"/>
      <c r="AW15" s="177"/>
      <c r="AX15" s="177"/>
      <c r="AY15" s="177"/>
      <c r="AZ15" s="177"/>
      <c r="BA15" s="177"/>
      <c r="BB15" s="177"/>
      <c r="BC15" s="177"/>
      <c r="BD15" s="178"/>
      <c r="BE15" s="188">
        <f t="shared" si="14"/>
        <v>0</v>
      </c>
      <c r="BF15" s="190">
        <f t="shared" si="15"/>
        <v>0</v>
      </c>
      <c r="BG15" s="191">
        <f t="shared" si="16"/>
        <v>7.333333333333337</v>
      </c>
      <c r="BH15" s="192">
        <f t="shared" si="17"/>
        <v>7.333333333333337</v>
      </c>
    </row>
    <row r="16" spans="1:60" s="97" customFormat="1" ht="19.5" customHeight="1">
      <c r="A16" s="81" t="s">
        <v>112</v>
      </c>
      <c r="B16" s="207" t="s">
        <v>53</v>
      </c>
      <c r="C16" s="176"/>
      <c r="D16" s="177"/>
      <c r="E16" s="177"/>
      <c r="F16" s="177"/>
      <c r="G16" s="177"/>
      <c r="H16" s="177"/>
      <c r="I16" s="177"/>
      <c r="J16" s="177"/>
      <c r="K16" s="177"/>
      <c r="L16" s="178"/>
      <c r="M16" s="188">
        <f t="shared" si="10"/>
        <v>0</v>
      </c>
      <c r="N16" s="176"/>
      <c r="O16" s="177"/>
      <c r="P16" s="177"/>
      <c r="Q16" s="177"/>
      <c r="R16" s="177"/>
      <c r="S16" s="177"/>
      <c r="T16" s="177"/>
      <c r="U16" s="177"/>
      <c r="V16" s="177"/>
      <c r="W16" s="178"/>
      <c r="X16" s="188">
        <f t="shared" si="11"/>
        <v>0</v>
      </c>
      <c r="Y16" s="176"/>
      <c r="Z16" s="177"/>
      <c r="AA16" s="177"/>
      <c r="AB16" s="177"/>
      <c r="AC16" s="177"/>
      <c r="AD16" s="177"/>
      <c r="AE16" s="177"/>
      <c r="AF16" s="177"/>
      <c r="AG16" s="177"/>
      <c r="AH16" s="178"/>
      <c r="AI16" s="188">
        <f t="shared" si="12"/>
        <v>0</v>
      </c>
      <c r="AJ16" s="176"/>
      <c r="AK16" s="177"/>
      <c r="AL16" s="177"/>
      <c r="AM16" s="177"/>
      <c r="AN16" s="177"/>
      <c r="AO16" s="177"/>
      <c r="AP16" s="177"/>
      <c r="AQ16" s="177"/>
      <c r="AR16" s="177"/>
      <c r="AS16" s="178"/>
      <c r="AT16" s="188">
        <f t="shared" si="13"/>
        <v>0</v>
      </c>
      <c r="AU16" s="176"/>
      <c r="AV16" s="177"/>
      <c r="AW16" s="177"/>
      <c r="AX16" s="177"/>
      <c r="AY16" s="177"/>
      <c r="AZ16" s="177"/>
      <c r="BA16" s="177"/>
      <c r="BB16" s="177"/>
      <c r="BC16" s="177"/>
      <c r="BD16" s="178"/>
      <c r="BE16" s="188">
        <f t="shared" si="14"/>
        <v>0</v>
      </c>
      <c r="BF16" s="190">
        <f t="shared" si="15"/>
        <v>0</v>
      </c>
      <c r="BG16" s="191">
        <f t="shared" si="16"/>
        <v>0</v>
      </c>
      <c r="BH16" s="192">
        <f t="shared" si="17"/>
        <v>0</v>
      </c>
    </row>
    <row r="17" spans="1:60" s="97" customFormat="1" ht="19.5" customHeight="1">
      <c r="A17" s="82" t="s">
        <v>113</v>
      </c>
      <c r="B17" s="207" t="s">
        <v>53</v>
      </c>
      <c r="C17" s="179"/>
      <c r="D17" s="180"/>
      <c r="E17" s="180"/>
      <c r="F17" s="180"/>
      <c r="G17" s="180"/>
      <c r="H17" s="180"/>
      <c r="I17" s="180"/>
      <c r="J17" s="180"/>
      <c r="K17" s="180"/>
      <c r="L17" s="181"/>
      <c r="M17" s="189">
        <f t="shared" si="10"/>
        <v>0</v>
      </c>
      <c r="N17" s="179"/>
      <c r="O17" s="180"/>
      <c r="P17" s="180"/>
      <c r="Q17" s="180"/>
      <c r="R17" s="180"/>
      <c r="S17" s="180"/>
      <c r="T17" s="180"/>
      <c r="U17" s="180"/>
      <c r="V17" s="180"/>
      <c r="W17" s="181"/>
      <c r="X17" s="189">
        <f t="shared" si="11"/>
        <v>0</v>
      </c>
      <c r="Y17" s="179"/>
      <c r="Z17" s="180"/>
      <c r="AA17" s="180"/>
      <c r="AB17" s="180"/>
      <c r="AC17" s="180"/>
      <c r="AD17" s="180"/>
      <c r="AE17" s="180"/>
      <c r="AF17" s="180"/>
      <c r="AG17" s="180"/>
      <c r="AH17" s="181"/>
      <c r="AI17" s="189">
        <f t="shared" si="12"/>
        <v>0</v>
      </c>
      <c r="AJ17" s="179"/>
      <c r="AK17" s="180"/>
      <c r="AL17" s="180"/>
      <c r="AM17" s="180"/>
      <c r="AN17" s="180"/>
      <c r="AO17" s="180"/>
      <c r="AP17" s="180"/>
      <c r="AQ17" s="180"/>
      <c r="AR17" s="180"/>
      <c r="AS17" s="181"/>
      <c r="AT17" s="189">
        <f t="shared" si="13"/>
        <v>0</v>
      </c>
      <c r="AU17" s="179"/>
      <c r="AV17" s="180"/>
      <c r="AW17" s="180"/>
      <c r="AX17" s="180"/>
      <c r="AY17" s="180"/>
      <c r="AZ17" s="180"/>
      <c r="BA17" s="180"/>
      <c r="BB17" s="180"/>
      <c r="BC17" s="180"/>
      <c r="BD17" s="181"/>
      <c r="BE17" s="189">
        <f t="shared" si="14"/>
        <v>0</v>
      </c>
      <c r="BF17" s="193">
        <f t="shared" si="15"/>
        <v>0</v>
      </c>
      <c r="BG17" s="194">
        <f t="shared" si="16"/>
        <v>0</v>
      </c>
      <c r="BH17" s="195">
        <f t="shared" si="17"/>
        <v>0</v>
      </c>
    </row>
    <row r="18" spans="1:60" s="97" customFormat="1" ht="19.5" customHeight="1">
      <c r="A18" s="80" t="s">
        <v>63</v>
      </c>
      <c r="B18" s="107"/>
      <c r="C18" s="93"/>
      <c r="D18" s="94"/>
      <c r="E18" s="94"/>
      <c r="F18" s="94"/>
      <c r="G18" s="94"/>
      <c r="H18" s="94"/>
      <c r="I18" s="94"/>
      <c r="J18" s="94"/>
      <c r="K18" s="94"/>
      <c r="L18" s="95"/>
      <c r="M18" s="214"/>
      <c r="N18" s="93"/>
      <c r="O18" s="94"/>
      <c r="P18" s="94"/>
      <c r="Q18" s="94"/>
      <c r="R18" s="94"/>
      <c r="S18" s="94"/>
      <c r="T18" s="94"/>
      <c r="U18" s="94"/>
      <c r="V18" s="94"/>
      <c r="W18" s="95"/>
      <c r="X18" s="214"/>
      <c r="Y18" s="93"/>
      <c r="Z18" s="94"/>
      <c r="AA18" s="94"/>
      <c r="AB18" s="94"/>
      <c r="AC18" s="94"/>
      <c r="AD18" s="94"/>
      <c r="AE18" s="94"/>
      <c r="AF18" s="94"/>
      <c r="AG18" s="94"/>
      <c r="AH18" s="95"/>
      <c r="AI18" s="214"/>
      <c r="AJ18" s="93"/>
      <c r="AK18" s="94"/>
      <c r="AL18" s="94"/>
      <c r="AM18" s="94"/>
      <c r="AN18" s="94"/>
      <c r="AO18" s="94"/>
      <c r="AP18" s="94"/>
      <c r="AQ18" s="94"/>
      <c r="AR18" s="94"/>
      <c r="AS18" s="95"/>
      <c r="AT18" s="214"/>
      <c r="AU18" s="93"/>
      <c r="AV18" s="94"/>
      <c r="AW18" s="94"/>
      <c r="AX18" s="94"/>
      <c r="AY18" s="94"/>
      <c r="AZ18" s="94"/>
      <c r="BA18" s="94"/>
      <c r="BB18" s="94"/>
      <c r="BC18" s="94"/>
      <c r="BD18" s="95"/>
      <c r="BE18" s="96"/>
      <c r="BF18" s="93"/>
      <c r="BG18" s="94"/>
      <c r="BH18" s="95"/>
    </row>
    <row r="19" spans="1:60" s="54" customFormat="1" ht="19.5" customHeight="1">
      <c r="A19" s="81" t="s">
        <v>16</v>
      </c>
      <c r="B19" s="108"/>
      <c r="C19" s="99"/>
      <c r="D19" s="100"/>
      <c r="E19" s="100"/>
      <c r="F19" s="100"/>
      <c r="G19" s="100"/>
      <c r="H19" s="100"/>
      <c r="I19" s="101"/>
      <c r="J19" s="101"/>
      <c r="K19" s="101"/>
      <c r="L19" s="102"/>
      <c r="M19" s="188">
        <f>SUM(M12:M17)</f>
        <v>22.833333333333336</v>
      </c>
      <c r="N19" s="99"/>
      <c r="O19" s="100"/>
      <c r="P19" s="100"/>
      <c r="Q19" s="100"/>
      <c r="R19" s="100"/>
      <c r="S19" s="100"/>
      <c r="T19" s="101"/>
      <c r="U19" s="101"/>
      <c r="V19" s="101"/>
      <c r="W19" s="102"/>
      <c r="X19" s="188">
        <f>SUM(X12:X17)</f>
        <v>22.833333333333336</v>
      </c>
      <c r="Y19" s="99"/>
      <c r="Z19" s="100"/>
      <c r="AA19" s="100"/>
      <c r="AB19" s="100"/>
      <c r="AC19" s="100"/>
      <c r="AD19" s="100"/>
      <c r="AE19" s="101"/>
      <c r="AF19" s="101"/>
      <c r="AG19" s="101"/>
      <c r="AH19" s="102"/>
      <c r="AI19" s="188">
        <f>SUM(AI12:AI17)</f>
        <v>10.916666666666668</v>
      </c>
      <c r="AJ19" s="99"/>
      <c r="AK19" s="100"/>
      <c r="AL19" s="100"/>
      <c r="AM19" s="100"/>
      <c r="AN19" s="100"/>
      <c r="AO19" s="100"/>
      <c r="AP19" s="101"/>
      <c r="AQ19" s="101"/>
      <c r="AR19" s="101"/>
      <c r="AS19" s="102"/>
      <c r="AT19" s="188">
        <f>SUM(AT12:AT17)</f>
        <v>15.583333333333336</v>
      </c>
      <c r="AU19" s="99"/>
      <c r="AV19" s="100"/>
      <c r="AW19" s="100"/>
      <c r="AX19" s="100"/>
      <c r="AY19" s="100"/>
      <c r="AZ19" s="100"/>
      <c r="BA19" s="101"/>
      <c r="BB19" s="101"/>
      <c r="BC19" s="101"/>
      <c r="BD19" s="102"/>
      <c r="BE19" s="188">
        <f>SUM(BE12:BE17)</f>
        <v>10.916666666666668</v>
      </c>
      <c r="BF19" s="190">
        <f>SUM(BF12:BF17)</f>
        <v>52.333333333333336</v>
      </c>
      <c r="BG19" s="191">
        <f>SUM(BG12:BG17)</f>
        <v>30.750000000000004</v>
      </c>
      <c r="BH19" s="192">
        <f>SUM(BH12:BH17)</f>
        <v>83.08333333333334</v>
      </c>
    </row>
    <row r="20" spans="1:60" s="54" customFormat="1" ht="30" customHeight="1">
      <c r="A20" s="148" t="s">
        <v>31</v>
      </c>
      <c r="B20" s="108"/>
      <c r="C20" s="99"/>
      <c r="D20" s="100"/>
      <c r="E20" s="100"/>
      <c r="F20" s="100"/>
      <c r="G20" s="100"/>
      <c r="H20" s="100"/>
      <c r="I20" s="101"/>
      <c r="J20" s="101"/>
      <c r="K20" s="101"/>
      <c r="L20" s="102"/>
      <c r="M20" s="223"/>
      <c r="N20" s="99"/>
      <c r="O20" s="100"/>
      <c r="P20" s="100"/>
      <c r="Q20" s="100"/>
      <c r="R20" s="100"/>
      <c r="S20" s="100"/>
      <c r="T20" s="101"/>
      <c r="U20" s="101"/>
      <c r="V20" s="101"/>
      <c r="W20" s="102"/>
      <c r="X20" s="223"/>
      <c r="Y20" s="99"/>
      <c r="Z20" s="100"/>
      <c r="AA20" s="100"/>
      <c r="AB20" s="100"/>
      <c r="AC20" s="100"/>
      <c r="AD20" s="100"/>
      <c r="AE20" s="101"/>
      <c r="AF20" s="101"/>
      <c r="AG20" s="101"/>
      <c r="AH20" s="102"/>
      <c r="AI20" s="223"/>
      <c r="AJ20" s="99"/>
      <c r="AK20" s="100"/>
      <c r="AL20" s="100"/>
      <c r="AM20" s="100"/>
      <c r="AN20" s="100"/>
      <c r="AO20" s="100"/>
      <c r="AP20" s="101"/>
      <c r="AQ20" s="101"/>
      <c r="AR20" s="101"/>
      <c r="AS20" s="102"/>
      <c r="AT20" s="223"/>
      <c r="AU20" s="99"/>
      <c r="AV20" s="100"/>
      <c r="AW20" s="100"/>
      <c r="AX20" s="100"/>
      <c r="AY20" s="100"/>
      <c r="AZ20" s="100"/>
      <c r="BA20" s="101"/>
      <c r="BB20" s="101"/>
      <c r="BC20" s="101"/>
      <c r="BD20" s="102"/>
      <c r="BE20" s="98"/>
      <c r="BF20" s="145"/>
      <c r="BG20" s="157"/>
      <c r="BH20" s="196">
        <f>BF19/BH19</f>
        <v>0.629889669007021</v>
      </c>
    </row>
    <row r="21" spans="1:60" s="54" customFormat="1" ht="19.5" customHeight="1">
      <c r="A21" s="81" t="s">
        <v>106</v>
      </c>
      <c r="B21" s="108"/>
      <c r="C21" s="200">
        <f aca="true" t="shared" si="18" ref="C21:L21">IF(C10=0,"",C10/SUM(C12:C17))</f>
        <v>6</v>
      </c>
      <c r="D21" s="201">
        <f t="shared" si="18"/>
        <v>8</v>
      </c>
      <c r="E21" s="201">
        <f t="shared" si="18"/>
        <v>4.5</v>
      </c>
      <c r="F21" s="201">
        <f t="shared" si="18"/>
        <v>9</v>
      </c>
      <c r="G21" s="201">
        <f t="shared" si="18"/>
        <v>9</v>
      </c>
      <c r="H21" s="201">
        <f t="shared" si="18"/>
        <v>8</v>
      </c>
      <c r="I21" s="201">
        <f t="shared" si="18"/>
      </c>
      <c r="J21" s="201">
        <f t="shared" si="18"/>
      </c>
      <c r="K21" s="201">
        <f t="shared" si="18"/>
      </c>
      <c r="L21" s="202">
        <f t="shared" si="18"/>
      </c>
      <c r="M21" s="188">
        <f>IF(M22=0,"",M22/M19)</f>
        <v>7.6751824817518255</v>
      </c>
      <c r="N21" s="200">
        <f aca="true" t="shared" si="19" ref="N21:W21">IF(N10=0,"",N10/SUM(N12:N17))</f>
        <v>8</v>
      </c>
      <c r="O21" s="201">
        <f t="shared" si="19"/>
        <v>10</v>
      </c>
      <c r="P21" s="201">
        <f t="shared" si="19"/>
        <v>7</v>
      </c>
      <c r="Q21" s="201">
        <f t="shared" si="19"/>
        <v>9</v>
      </c>
      <c r="R21" s="201">
        <f t="shared" si="19"/>
        <v>9</v>
      </c>
      <c r="S21" s="201">
        <f t="shared" si="19"/>
        <v>7</v>
      </c>
      <c r="T21" s="201">
        <f t="shared" si="19"/>
      </c>
      <c r="U21" s="201">
        <f t="shared" si="19"/>
      </c>
      <c r="V21" s="201">
        <f t="shared" si="19"/>
      </c>
      <c r="W21" s="202">
        <f t="shared" si="19"/>
      </c>
      <c r="X21" s="188">
        <f>IF(X22=0,"",X22/X19)</f>
        <v>8.67883211678832</v>
      </c>
      <c r="Y21" s="200">
        <f aca="true" t="shared" si="20" ref="Y21:AH21">IF(Y10=0,"",Y10/SUM(Y12:Y17))</f>
        <v>10</v>
      </c>
      <c r="Z21" s="201">
        <f t="shared" si="20"/>
        <v>6.5</v>
      </c>
      <c r="AA21" s="201">
        <f t="shared" si="20"/>
        <v>4</v>
      </c>
      <c r="AB21" s="201">
        <f t="shared" si="20"/>
        <v>6.5</v>
      </c>
      <c r="AC21" s="201">
        <f t="shared" si="20"/>
        <v>6.5</v>
      </c>
      <c r="AD21" s="201">
        <f t="shared" si="20"/>
        <v>9</v>
      </c>
      <c r="AE21" s="201">
        <f t="shared" si="20"/>
      </c>
      <c r="AF21" s="201">
        <f t="shared" si="20"/>
      </c>
      <c r="AG21" s="201">
        <f t="shared" si="20"/>
      </c>
      <c r="AH21" s="202">
        <f t="shared" si="20"/>
      </c>
      <c r="AI21" s="188">
        <f>IF(AI22=0,"",AI22/AI19)</f>
        <v>6.687022900763358</v>
      </c>
      <c r="AJ21" s="200">
        <f aca="true" t="shared" si="21" ref="AJ21:AS21">IF(AJ10=0,"",AJ10/SUM(AJ12:AJ17))</f>
        <v>8</v>
      </c>
      <c r="AK21" s="201">
        <f t="shared" si="21"/>
        <v>9.666666666666666</v>
      </c>
      <c r="AL21" s="201">
        <f t="shared" si="21"/>
        <v>7</v>
      </c>
      <c r="AM21" s="201">
        <f t="shared" si="21"/>
        <v>8.333333333333334</v>
      </c>
      <c r="AN21" s="201">
        <f t="shared" si="21"/>
        <v>8.333333333333334</v>
      </c>
      <c r="AO21" s="201">
        <f t="shared" si="21"/>
        <v>8.5</v>
      </c>
      <c r="AP21" s="201">
        <f t="shared" si="21"/>
      </c>
      <c r="AQ21" s="201">
        <f t="shared" si="21"/>
      </c>
      <c r="AR21" s="201">
        <f t="shared" si="21"/>
      </c>
      <c r="AS21" s="202">
        <f t="shared" si="21"/>
      </c>
      <c r="AT21" s="188">
        <f>IF(AT22=0,"",AT22/AT19)</f>
        <v>8.647058823529411</v>
      </c>
      <c r="AU21" s="200">
        <f aca="true" t="shared" si="22" ref="AU21:BD21">IF(AU10=0,"",AU10/SUM(AU12:AU17))</f>
        <v>5</v>
      </c>
      <c r="AV21" s="201">
        <f t="shared" si="22"/>
        <v>9</v>
      </c>
      <c r="AW21" s="201">
        <f t="shared" si="22"/>
        <v>4</v>
      </c>
      <c r="AX21" s="201">
        <f t="shared" si="22"/>
        <v>7</v>
      </c>
      <c r="AY21" s="201">
        <f t="shared" si="22"/>
        <v>7</v>
      </c>
      <c r="AZ21" s="201">
        <f t="shared" si="22"/>
        <v>8</v>
      </c>
      <c r="BA21" s="201">
        <f t="shared" si="22"/>
      </c>
      <c r="BB21" s="201">
        <f t="shared" si="22"/>
      </c>
      <c r="BC21" s="201">
        <f t="shared" si="22"/>
      </c>
      <c r="BD21" s="202">
        <f t="shared" si="22"/>
      </c>
      <c r="BE21" s="188">
        <f>IF(BE22=0,"",BE22/BE19)</f>
        <v>7.114503816793891</v>
      </c>
      <c r="BF21" s="136"/>
      <c r="BG21" s="151"/>
      <c r="BH21" s="197">
        <f>BH22/BH19</f>
        <v>7.929789368104313</v>
      </c>
    </row>
    <row r="22" spans="1:60" s="66" customFormat="1" ht="19.5" customHeight="1">
      <c r="A22" s="83" t="s">
        <v>64</v>
      </c>
      <c r="B22" s="109"/>
      <c r="C22" s="200">
        <f aca="true" t="shared" si="23" ref="C22:L22">C10*C9</f>
        <v>11.99999999999999</v>
      </c>
      <c r="D22" s="201">
        <f t="shared" si="23"/>
        <v>56.000000000000014</v>
      </c>
      <c r="E22" s="201">
        <f t="shared" si="23"/>
        <v>14.249999999999996</v>
      </c>
      <c r="F22" s="201">
        <f t="shared" si="23"/>
        <v>35.99999999999997</v>
      </c>
      <c r="G22" s="201">
        <f t="shared" si="23"/>
        <v>33.00000000000007</v>
      </c>
      <c r="H22" s="201">
        <f t="shared" si="23"/>
        <v>23.99999999999998</v>
      </c>
      <c r="I22" s="191">
        <f t="shared" si="23"/>
        <v>0</v>
      </c>
      <c r="J22" s="191">
        <f t="shared" si="23"/>
        <v>0</v>
      </c>
      <c r="K22" s="191">
        <f t="shared" si="23"/>
        <v>0</v>
      </c>
      <c r="L22" s="191">
        <f t="shared" si="23"/>
        <v>0</v>
      </c>
      <c r="M22" s="188">
        <f>SUM(C22:L22)</f>
        <v>175.25000000000003</v>
      </c>
      <c r="N22" s="200">
        <f aca="true" t="shared" si="24" ref="N22:W22">N10*N9</f>
        <v>15.999999999999986</v>
      </c>
      <c r="O22" s="201">
        <f t="shared" si="24"/>
        <v>70.00000000000001</v>
      </c>
      <c r="P22" s="201">
        <f t="shared" si="24"/>
        <v>22.166666666666664</v>
      </c>
      <c r="Q22" s="201">
        <f t="shared" si="24"/>
        <v>35.99999999999997</v>
      </c>
      <c r="R22" s="201">
        <f t="shared" si="24"/>
        <v>33.00000000000007</v>
      </c>
      <c r="S22" s="201">
        <f t="shared" si="24"/>
        <v>20.999999999999982</v>
      </c>
      <c r="T22" s="191">
        <f t="shared" si="24"/>
        <v>0</v>
      </c>
      <c r="U22" s="191">
        <f t="shared" si="24"/>
        <v>0</v>
      </c>
      <c r="V22" s="191">
        <f t="shared" si="24"/>
        <v>0</v>
      </c>
      <c r="W22" s="191">
        <f t="shared" si="24"/>
        <v>0</v>
      </c>
      <c r="X22" s="188">
        <f>SUM(N22:W22)</f>
        <v>198.16666666666666</v>
      </c>
      <c r="Y22" s="200">
        <f aca="true" t="shared" si="25" ref="Y22:AH22">Y10*Y9</f>
        <v>9.999999999999991</v>
      </c>
      <c r="Z22" s="201">
        <f t="shared" si="25"/>
        <v>22.750000000000007</v>
      </c>
      <c r="AA22" s="201">
        <f t="shared" si="25"/>
        <v>6.333333333333332</v>
      </c>
      <c r="AB22" s="201">
        <f t="shared" si="25"/>
        <v>12.99999999999999</v>
      </c>
      <c r="AC22" s="201">
        <f t="shared" si="25"/>
        <v>11.916666666666693</v>
      </c>
      <c r="AD22" s="201">
        <f t="shared" si="25"/>
        <v>8.999999999999993</v>
      </c>
      <c r="AE22" s="191">
        <f t="shared" si="25"/>
        <v>0</v>
      </c>
      <c r="AF22" s="191">
        <f t="shared" si="25"/>
        <v>0</v>
      </c>
      <c r="AG22" s="191">
        <f t="shared" si="25"/>
        <v>0</v>
      </c>
      <c r="AH22" s="191">
        <f t="shared" si="25"/>
        <v>0</v>
      </c>
      <c r="AI22" s="188">
        <f>SUM(Y22:AH22)</f>
        <v>73</v>
      </c>
      <c r="AJ22" s="200">
        <f aca="true" t="shared" si="26" ref="AJ22:AS22">AJ10*AJ9</f>
        <v>7.999999999999993</v>
      </c>
      <c r="AK22" s="201">
        <f t="shared" si="26"/>
        <v>50.750000000000014</v>
      </c>
      <c r="AL22" s="201">
        <f t="shared" si="26"/>
        <v>11.083333333333332</v>
      </c>
      <c r="AM22" s="201">
        <f t="shared" si="26"/>
        <v>24.99999999999998</v>
      </c>
      <c r="AN22" s="201">
        <f t="shared" si="26"/>
        <v>22.916666666666718</v>
      </c>
      <c r="AO22" s="201">
        <f t="shared" si="26"/>
        <v>16.999999999999986</v>
      </c>
      <c r="AP22" s="191">
        <f t="shared" si="26"/>
        <v>0</v>
      </c>
      <c r="AQ22" s="191">
        <f t="shared" si="26"/>
        <v>0</v>
      </c>
      <c r="AR22" s="191">
        <f t="shared" si="26"/>
        <v>0</v>
      </c>
      <c r="AS22" s="191">
        <f t="shared" si="26"/>
        <v>0</v>
      </c>
      <c r="AT22" s="188">
        <f>SUM(AJ22:AS22)</f>
        <v>134.75</v>
      </c>
      <c r="AU22" s="200">
        <f aca="true" t="shared" si="27" ref="AU22:BD22">AU10*AU9</f>
        <v>4.999999999999996</v>
      </c>
      <c r="AV22" s="201">
        <f t="shared" si="27"/>
        <v>31.500000000000007</v>
      </c>
      <c r="AW22" s="201">
        <f t="shared" si="27"/>
        <v>6.333333333333332</v>
      </c>
      <c r="AX22" s="201">
        <f t="shared" si="27"/>
        <v>13.999999999999988</v>
      </c>
      <c r="AY22" s="201">
        <f t="shared" si="27"/>
        <v>12.833333333333362</v>
      </c>
      <c r="AZ22" s="201">
        <f t="shared" si="27"/>
        <v>7.999999999999993</v>
      </c>
      <c r="BA22" s="191">
        <f t="shared" si="27"/>
        <v>0</v>
      </c>
      <c r="BB22" s="191">
        <f t="shared" si="27"/>
        <v>0</v>
      </c>
      <c r="BC22" s="191">
        <f t="shared" si="27"/>
        <v>0</v>
      </c>
      <c r="BD22" s="191">
        <f t="shared" si="27"/>
        <v>0</v>
      </c>
      <c r="BE22" s="188">
        <f>SUM(AU22:BD22)</f>
        <v>77.66666666666666</v>
      </c>
      <c r="BF22" s="136"/>
      <c r="BG22" s="151"/>
      <c r="BH22" s="197">
        <f>M22+X22+AI22+AT22+BE22</f>
        <v>658.8333333333334</v>
      </c>
    </row>
    <row r="23" spans="1:60" s="54" customFormat="1" ht="19.5" customHeight="1">
      <c r="A23" s="81" t="s">
        <v>74</v>
      </c>
      <c r="B23" s="108"/>
      <c r="C23" s="113"/>
      <c r="D23" s="203">
        <f>D10</f>
        <v>32</v>
      </c>
      <c r="E23" s="114"/>
      <c r="F23" s="114"/>
      <c r="G23" s="114"/>
      <c r="H23" s="114"/>
      <c r="I23" s="114"/>
      <c r="J23" s="114"/>
      <c r="K23" s="114"/>
      <c r="L23" s="115"/>
      <c r="M23" s="220"/>
      <c r="N23" s="113"/>
      <c r="O23" s="203">
        <f>O10</f>
        <v>40</v>
      </c>
      <c r="P23" s="114"/>
      <c r="Q23" s="114"/>
      <c r="R23" s="114"/>
      <c r="S23" s="114"/>
      <c r="T23" s="114"/>
      <c r="U23" s="114"/>
      <c r="V23" s="114"/>
      <c r="W23" s="115"/>
      <c r="X23" s="220"/>
      <c r="Y23" s="113"/>
      <c r="Z23" s="203">
        <f>Z10</f>
        <v>13</v>
      </c>
      <c r="AA23" s="114"/>
      <c r="AB23" s="114"/>
      <c r="AC23" s="114"/>
      <c r="AD23" s="114"/>
      <c r="AE23" s="114"/>
      <c r="AF23" s="114"/>
      <c r="AG23" s="114"/>
      <c r="AH23" s="115"/>
      <c r="AI23" s="220"/>
      <c r="AJ23" s="113"/>
      <c r="AK23" s="203">
        <f>AK10</f>
        <v>29</v>
      </c>
      <c r="AL23" s="114"/>
      <c r="AM23" s="114"/>
      <c r="AN23" s="114"/>
      <c r="AO23" s="114"/>
      <c r="AP23" s="114"/>
      <c r="AQ23" s="114"/>
      <c r="AR23" s="114"/>
      <c r="AS23" s="115"/>
      <c r="AT23" s="220"/>
      <c r="AU23" s="113"/>
      <c r="AV23" s="203">
        <f>AV10</f>
        <v>18</v>
      </c>
      <c r="AW23" s="114"/>
      <c r="AX23" s="114"/>
      <c r="AY23" s="114"/>
      <c r="AZ23" s="114"/>
      <c r="BA23" s="114"/>
      <c r="BB23" s="114"/>
      <c r="BC23" s="114"/>
      <c r="BD23" s="115"/>
      <c r="BE23" s="92"/>
      <c r="BF23" s="137"/>
      <c r="BG23" s="152"/>
      <c r="BH23" s="198">
        <f>SUM(C23:BD23)</f>
        <v>132</v>
      </c>
    </row>
    <row r="24" spans="1:60" s="54" customFormat="1" ht="19.5" customHeight="1">
      <c r="A24" s="81" t="s">
        <v>15</v>
      </c>
      <c r="B24" s="108"/>
      <c r="C24" s="204">
        <f>C10</f>
        <v>12</v>
      </c>
      <c r="D24" s="114"/>
      <c r="E24" s="114"/>
      <c r="F24" s="114"/>
      <c r="G24" s="114"/>
      <c r="H24" s="114"/>
      <c r="I24" s="114"/>
      <c r="J24" s="114"/>
      <c r="K24" s="114"/>
      <c r="L24" s="115"/>
      <c r="M24" s="220"/>
      <c r="N24" s="204">
        <f>N10</f>
        <v>16</v>
      </c>
      <c r="O24" s="114"/>
      <c r="P24" s="114"/>
      <c r="Q24" s="114"/>
      <c r="R24" s="114"/>
      <c r="S24" s="114"/>
      <c r="T24" s="114"/>
      <c r="U24" s="114"/>
      <c r="V24" s="114"/>
      <c r="W24" s="115"/>
      <c r="X24" s="220"/>
      <c r="Y24" s="204">
        <f>Y10</f>
        <v>10</v>
      </c>
      <c r="Z24" s="114"/>
      <c r="AA24" s="114"/>
      <c r="AB24" s="114"/>
      <c r="AC24" s="114"/>
      <c r="AD24" s="114"/>
      <c r="AE24" s="114"/>
      <c r="AF24" s="114"/>
      <c r="AG24" s="114"/>
      <c r="AH24" s="115"/>
      <c r="AI24" s="220"/>
      <c r="AJ24" s="204">
        <f>AJ10</f>
        <v>8</v>
      </c>
      <c r="AK24" s="114"/>
      <c r="AL24" s="114"/>
      <c r="AM24" s="114"/>
      <c r="AN24" s="114"/>
      <c r="AO24" s="114"/>
      <c r="AP24" s="114"/>
      <c r="AQ24" s="114"/>
      <c r="AR24" s="114"/>
      <c r="AS24" s="115"/>
      <c r="AT24" s="220"/>
      <c r="AU24" s="204">
        <f>AU10</f>
        <v>5</v>
      </c>
      <c r="AV24" s="114"/>
      <c r="AW24" s="114"/>
      <c r="AX24" s="114"/>
      <c r="AY24" s="114"/>
      <c r="AZ24" s="114"/>
      <c r="BA24" s="114"/>
      <c r="BB24" s="114"/>
      <c r="BC24" s="114"/>
      <c r="BD24" s="115"/>
      <c r="BE24" s="92"/>
      <c r="BF24" s="137"/>
      <c r="BG24" s="152"/>
      <c r="BH24" s="198">
        <f>SUM(C24:BD24)</f>
        <v>51</v>
      </c>
    </row>
    <row r="25" spans="1:60" s="54" customFormat="1" ht="19.5" customHeight="1">
      <c r="A25" s="103" t="s">
        <v>78</v>
      </c>
      <c r="B25" s="110"/>
      <c r="C25" s="205">
        <f>C10*0.1</f>
        <v>1.2000000000000002</v>
      </c>
      <c r="D25" s="206">
        <f>D10*0.5</f>
        <v>16</v>
      </c>
      <c r="E25" s="206">
        <f>MAX(E10:H10)*0.4</f>
        <v>14.4</v>
      </c>
      <c r="F25" s="104"/>
      <c r="G25" s="104"/>
      <c r="H25" s="104"/>
      <c r="I25" s="105"/>
      <c r="J25" s="105"/>
      <c r="K25" s="105"/>
      <c r="L25" s="106"/>
      <c r="M25" s="189">
        <f>SUM(C25:L25)</f>
        <v>31.6</v>
      </c>
      <c r="N25" s="205">
        <f>N10*0.1</f>
        <v>1.6</v>
      </c>
      <c r="O25" s="206">
        <f>O10*0.5</f>
        <v>20</v>
      </c>
      <c r="P25" s="206">
        <f>MAX(P10:S10)*0.4</f>
        <v>14.4</v>
      </c>
      <c r="Q25" s="104"/>
      <c r="R25" s="104"/>
      <c r="S25" s="104"/>
      <c r="T25" s="105"/>
      <c r="U25" s="105"/>
      <c r="V25" s="105"/>
      <c r="W25" s="106"/>
      <c r="X25" s="189">
        <f>SUM(N25:W25)</f>
        <v>36</v>
      </c>
      <c r="Y25" s="205">
        <f>Y10*0.1</f>
        <v>1</v>
      </c>
      <c r="Z25" s="206">
        <f>Z10*0.5</f>
        <v>6.5</v>
      </c>
      <c r="AA25" s="206">
        <f>MAX(AA10:AD10)*0.4</f>
        <v>5.2</v>
      </c>
      <c r="AB25" s="104"/>
      <c r="AC25" s="104"/>
      <c r="AD25" s="104"/>
      <c r="AE25" s="105"/>
      <c r="AF25" s="105"/>
      <c r="AG25" s="105"/>
      <c r="AH25" s="106"/>
      <c r="AI25" s="189">
        <f>SUM(Y25:AH25)</f>
        <v>12.7</v>
      </c>
      <c r="AJ25" s="205">
        <f>AJ10*0.1</f>
        <v>0.8</v>
      </c>
      <c r="AK25" s="206">
        <f>AK10*0.5</f>
        <v>14.5</v>
      </c>
      <c r="AL25" s="206">
        <f>MAX(AL10:AO10)*0.4</f>
        <v>10</v>
      </c>
      <c r="AM25" s="104"/>
      <c r="AN25" s="104"/>
      <c r="AO25" s="104"/>
      <c r="AP25" s="105"/>
      <c r="AQ25" s="105"/>
      <c r="AR25" s="105"/>
      <c r="AS25" s="106"/>
      <c r="AT25" s="189">
        <f>SUM(AJ25:AS25)</f>
        <v>25.3</v>
      </c>
      <c r="AU25" s="205">
        <f>AU10*0.1</f>
        <v>0.5</v>
      </c>
      <c r="AV25" s="206">
        <f>AV10*0.5</f>
        <v>9</v>
      </c>
      <c r="AW25" s="206">
        <f>MAX(AW10:AZ10)*0.4</f>
        <v>5.6000000000000005</v>
      </c>
      <c r="AX25" s="104"/>
      <c r="AY25" s="104"/>
      <c r="AZ25" s="104"/>
      <c r="BA25" s="105"/>
      <c r="BB25" s="105"/>
      <c r="BC25" s="105"/>
      <c r="BD25" s="106"/>
      <c r="BE25" s="189">
        <f>SUM(AU25:BD25)</f>
        <v>15.100000000000001</v>
      </c>
      <c r="BF25" s="138"/>
      <c r="BG25" s="153"/>
      <c r="BH25" s="199">
        <f>(M25+X25+AI25+AT25+BE25)/5</f>
        <v>24.139999999999997</v>
      </c>
    </row>
    <row r="26" spans="13:46" s="54" customFormat="1" ht="10.5">
      <c r="M26" s="233"/>
      <c r="X26" s="233"/>
      <c r="AI26" s="233"/>
      <c r="AT26" s="233"/>
    </row>
    <row r="27" spans="1:46" s="54" customFormat="1" ht="10.5">
      <c r="A27" s="54" t="s">
        <v>87</v>
      </c>
      <c r="M27" s="233"/>
      <c r="X27" s="233"/>
      <c r="AI27" s="233"/>
      <c r="AT27" s="233"/>
    </row>
    <row r="28" spans="1:46" s="54" customFormat="1" ht="10.5">
      <c r="A28" s="54" t="s">
        <v>73</v>
      </c>
      <c r="M28" s="233"/>
      <c r="X28" s="233"/>
      <c r="AI28" s="233"/>
      <c r="AT28" s="233"/>
    </row>
    <row r="29" spans="1:46" s="54" customFormat="1" ht="10.5">
      <c r="A29" s="54" t="s">
        <v>51</v>
      </c>
      <c r="M29" s="233"/>
      <c r="X29" s="233"/>
      <c r="AI29" s="233"/>
      <c r="AT29" s="233"/>
    </row>
    <row r="30" spans="13:46" s="54" customFormat="1" ht="10.5">
      <c r="M30" s="233"/>
      <c r="X30" s="233"/>
      <c r="AI30" s="233"/>
      <c r="AT30" s="233"/>
    </row>
    <row r="31" spans="13:46" s="54" customFormat="1" ht="10.5">
      <c r="M31" s="233"/>
      <c r="X31" s="233"/>
      <c r="AI31" s="233"/>
      <c r="AT31" s="233"/>
    </row>
    <row r="32" spans="1:46" s="54" customFormat="1" ht="10.5">
      <c r="A32" s="46" t="s">
        <v>28</v>
      </c>
      <c r="M32" s="233"/>
      <c r="X32" s="233"/>
      <c r="AI32" s="233"/>
      <c r="AT32" s="233"/>
    </row>
    <row r="33" spans="13:46" s="54" customFormat="1" ht="10.5">
      <c r="M33" s="233"/>
      <c r="X33" s="233"/>
      <c r="AI33" s="233"/>
      <c r="AT33" s="233"/>
    </row>
    <row r="34" spans="13:46" s="54" customFormat="1" ht="10.5">
      <c r="M34" s="233"/>
      <c r="X34" s="233"/>
      <c r="AI34" s="233"/>
      <c r="AT34" s="233"/>
    </row>
    <row r="35" spans="13:46" s="54" customFormat="1" ht="10.5">
      <c r="M35" s="233"/>
      <c r="X35" s="233"/>
      <c r="AI35" s="233"/>
      <c r="AT35" s="233"/>
    </row>
    <row r="36" spans="13:46" s="54" customFormat="1" ht="10.5">
      <c r="M36" s="233"/>
      <c r="X36" s="233"/>
      <c r="AI36" s="233"/>
      <c r="AT36" s="233"/>
    </row>
    <row r="37" spans="13:46" s="54" customFormat="1" ht="10.5">
      <c r="M37" s="233"/>
      <c r="X37" s="233"/>
      <c r="AI37" s="233"/>
      <c r="AT37" s="233"/>
    </row>
    <row r="38" spans="13:46" s="54" customFormat="1" ht="10.5">
      <c r="M38" s="233"/>
      <c r="X38" s="233"/>
      <c r="AI38" s="233"/>
      <c r="AT38" s="233"/>
    </row>
    <row r="39" spans="13:46" s="54" customFormat="1" ht="10.5">
      <c r="M39" s="233"/>
      <c r="X39" s="233"/>
      <c r="AI39" s="233"/>
      <c r="AT39" s="233"/>
    </row>
    <row r="40" spans="13:46" s="54" customFormat="1" ht="10.5">
      <c r="M40" s="233"/>
      <c r="X40" s="233"/>
      <c r="AI40" s="233"/>
      <c r="AT40" s="233"/>
    </row>
    <row r="41" spans="13:46" s="54" customFormat="1" ht="10.5">
      <c r="M41" s="233"/>
      <c r="X41" s="233"/>
      <c r="AI41" s="233"/>
      <c r="AT41" s="233"/>
    </row>
    <row r="42" spans="13:46" s="54" customFormat="1" ht="10.5">
      <c r="M42" s="233"/>
      <c r="X42" s="233"/>
      <c r="AI42" s="233"/>
      <c r="AT42" s="233"/>
    </row>
    <row r="43" spans="13:46" s="54" customFormat="1" ht="10.5">
      <c r="M43" s="233"/>
      <c r="X43" s="233"/>
      <c r="AI43" s="233"/>
      <c r="AT43" s="233"/>
    </row>
    <row r="44" spans="13:46" s="54" customFormat="1" ht="10.5">
      <c r="M44" s="233"/>
      <c r="X44" s="233"/>
      <c r="AI44" s="233"/>
      <c r="AT44" s="233"/>
    </row>
    <row r="45" spans="13:46" s="54" customFormat="1" ht="10.5">
      <c r="M45" s="233"/>
      <c r="X45" s="233"/>
      <c r="AI45" s="233"/>
      <c r="AT45" s="233"/>
    </row>
    <row r="46" spans="13:46" s="54" customFormat="1" ht="10.5">
      <c r="M46" s="233"/>
      <c r="X46" s="233"/>
      <c r="AI46" s="233"/>
      <c r="AT46" s="233"/>
    </row>
    <row r="47" spans="13:46" s="54" customFormat="1" ht="10.5">
      <c r="M47" s="233"/>
      <c r="X47" s="233"/>
      <c r="AI47" s="233"/>
      <c r="AT47" s="233"/>
    </row>
    <row r="48" spans="13:46" s="54" customFormat="1" ht="10.5">
      <c r="M48" s="233"/>
      <c r="X48" s="233"/>
      <c r="AI48" s="233"/>
      <c r="AT48" s="233"/>
    </row>
    <row r="49" spans="13:46" s="54" customFormat="1" ht="10.5">
      <c r="M49" s="233"/>
      <c r="X49" s="233"/>
      <c r="AI49" s="233"/>
      <c r="AT49" s="233"/>
    </row>
    <row r="50" spans="13:46" s="54" customFormat="1" ht="10.5">
      <c r="M50" s="233"/>
      <c r="X50" s="233"/>
      <c r="AI50" s="233"/>
      <c r="AT50" s="233"/>
    </row>
    <row r="51" spans="13:46" s="54" customFormat="1" ht="10.5">
      <c r="M51" s="233"/>
      <c r="X51" s="233"/>
      <c r="AI51" s="233"/>
      <c r="AT51" s="233"/>
    </row>
    <row r="52" spans="13:46" s="54" customFormat="1" ht="10.5">
      <c r="M52" s="233"/>
      <c r="X52" s="233"/>
      <c r="AI52" s="233"/>
      <c r="AT52" s="233"/>
    </row>
    <row r="53" spans="13:46" s="54" customFormat="1" ht="10.5">
      <c r="M53" s="233"/>
      <c r="X53" s="233"/>
      <c r="AI53" s="233"/>
      <c r="AT53" s="233"/>
    </row>
    <row r="54" spans="13:46" s="54" customFormat="1" ht="10.5">
      <c r="M54" s="233"/>
      <c r="X54" s="233"/>
      <c r="AI54" s="233"/>
      <c r="AT54" s="233"/>
    </row>
    <row r="55" spans="13:46" s="54" customFormat="1" ht="10.5">
      <c r="M55" s="233"/>
      <c r="X55" s="233"/>
      <c r="AI55" s="233"/>
      <c r="AT55" s="233"/>
    </row>
    <row r="56" spans="13:46" s="54" customFormat="1" ht="10.5">
      <c r="M56" s="233"/>
      <c r="X56" s="233"/>
      <c r="AI56" s="233"/>
      <c r="AT56" s="233"/>
    </row>
    <row r="57" spans="13:46" s="54" customFormat="1" ht="10.5">
      <c r="M57" s="233"/>
      <c r="X57" s="233"/>
      <c r="AI57" s="233"/>
      <c r="AT57" s="233"/>
    </row>
    <row r="58" spans="13:46" s="54" customFormat="1" ht="10.5">
      <c r="M58" s="233"/>
      <c r="X58" s="233"/>
      <c r="AI58" s="233"/>
      <c r="AT58" s="233"/>
    </row>
    <row r="59" spans="13:46" s="54" customFormat="1" ht="10.5">
      <c r="M59" s="233"/>
      <c r="X59" s="233"/>
      <c r="AI59" s="233"/>
      <c r="AT59" s="233"/>
    </row>
    <row r="60" spans="13:46" s="54" customFormat="1" ht="10.5">
      <c r="M60" s="233"/>
      <c r="X60" s="233"/>
      <c r="AI60" s="233"/>
      <c r="AT60" s="233"/>
    </row>
    <row r="61" spans="13:46" s="54" customFormat="1" ht="10.5">
      <c r="M61" s="233"/>
      <c r="X61" s="233"/>
      <c r="AI61" s="233"/>
      <c r="AT61" s="233"/>
    </row>
    <row r="62" spans="13:46" s="54" customFormat="1" ht="10.5">
      <c r="M62" s="233"/>
      <c r="X62" s="233"/>
      <c r="AI62" s="233"/>
      <c r="AT62" s="233"/>
    </row>
    <row r="63" spans="13:46" s="54" customFormat="1" ht="10.5">
      <c r="M63" s="233"/>
      <c r="X63" s="233"/>
      <c r="AI63" s="233"/>
      <c r="AT63" s="233"/>
    </row>
  </sheetData>
  <printOptions/>
  <pageMargins left="0.984251968503937" right="0.5905511811023623" top="0.7874015748031497" bottom="0.5905511811023623" header="0.5118110236220472" footer="0.5118110236220472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="200" zoomScaleNormal="200" zoomScaleSheetLayoutView="150" workbookViewId="0" topLeftCell="A1">
      <selection activeCell="A66" sqref="A66"/>
    </sheetView>
  </sheetViews>
  <sheetFormatPr defaultColWidth="11.00390625" defaultRowHeight="12"/>
  <cols>
    <col min="1" max="1" width="49.125" style="4" customWidth="1"/>
    <col min="2" max="2" width="9.375" style="2" customWidth="1"/>
    <col min="3" max="4" width="9.875" style="2" customWidth="1"/>
    <col min="5" max="5" width="33.125" style="2" customWidth="1"/>
    <col min="6" max="16384" width="10.875" style="2" customWidth="1"/>
  </cols>
  <sheetData>
    <row r="1" spans="1:5" ht="12">
      <c r="A1" s="4" t="str">
        <f>Basiswerte!A1</f>
        <v>Budgettool zur Berechnung der Betriebskosten eines Tagesschulangebotes</v>
      </c>
      <c r="E1" s="36"/>
    </row>
    <row r="2" ht="12">
      <c r="A2" s="4" t="str">
        <f>Basiswerte!A2</f>
        <v>Variante selber kochen</v>
      </c>
    </row>
    <row r="3" ht="15">
      <c r="A3" s="284"/>
    </row>
    <row r="4" spans="1:2" s="3" customFormat="1" ht="15">
      <c r="A4" s="284" t="s">
        <v>161</v>
      </c>
      <c r="B4" s="1"/>
    </row>
    <row r="5" spans="1:4" ht="12">
      <c r="A5" s="282"/>
      <c r="B5" s="283" t="s">
        <v>195</v>
      </c>
      <c r="C5" s="283" t="s">
        <v>171</v>
      </c>
      <c r="D5" s="283" t="s">
        <v>167</v>
      </c>
    </row>
    <row r="6" spans="1:4" ht="12">
      <c r="A6" s="285" t="s">
        <v>117</v>
      </c>
      <c r="B6" s="234">
        <f>Basiswerte!B7</f>
        <v>39</v>
      </c>
      <c r="C6" s="234">
        <f>Basiswerte!C7</f>
        <v>39</v>
      </c>
      <c r="D6" s="234">
        <f>Basiswerte!D7</f>
        <v>39</v>
      </c>
    </row>
    <row r="7" spans="1:4" s="230" customFormat="1" ht="12">
      <c r="A7" s="286" t="s">
        <v>47</v>
      </c>
      <c r="B7" s="250"/>
      <c r="C7" s="52"/>
      <c r="D7" s="52"/>
    </row>
    <row r="8" spans="1:5" ht="12.75" customHeight="1">
      <c r="A8" s="287" t="s">
        <v>8</v>
      </c>
      <c r="B8" s="235">
        <f>Basiswerte!B15</f>
        <v>0.01979695431472081</v>
      </c>
      <c r="C8" s="235">
        <f>Basiswerte!C15</f>
        <v>0.01979695431472081</v>
      </c>
      <c r="D8" s="235">
        <f>Basiswerte!D15</f>
        <v>0.01979695431472081</v>
      </c>
      <c r="E8" s="26"/>
    </row>
    <row r="9" spans="1:4" ht="12">
      <c r="A9" s="288" t="s">
        <v>184</v>
      </c>
      <c r="B9" s="236">
        <f>Basiswerte!B25</f>
        <v>120000</v>
      </c>
      <c r="C9" s="236">
        <f>Basiswerte!C25</f>
        <v>120000</v>
      </c>
      <c r="D9" s="236">
        <f>Basiswerte!D25</f>
        <v>120000</v>
      </c>
    </row>
    <row r="10" spans="1:4" s="8" customFormat="1" ht="15" customHeight="1">
      <c r="A10" s="289" t="s">
        <v>185</v>
      </c>
      <c r="B10" s="252">
        <f>B8*B9</f>
        <v>2375.634517766497</v>
      </c>
      <c r="C10" s="252">
        <f>C8*C9</f>
        <v>2375.634517766497</v>
      </c>
      <c r="D10" s="252">
        <f>D8*D9</f>
        <v>2375.634517766497</v>
      </c>
    </row>
    <row r="11" spans="1:4" s="230" customFormat="1" ht="12">
      <c r="A11" s="286" t="s">
        <v>121</v>
      </c>
      <c r="B11" s="250"/>
      <c r="C11" s="52"/>
      <c r="D11" s="52"/>
    </row>
    <row r="12" spans="1:5" ht="12.75" customHeight="1">
      <c r="A12" s="287" t="s">
        <v>8</v>
      </c>
      <c r="B12" s="235">
        <f>Basiswerte!B17</f>
        <v>0.1484771573604061</v>
      </c>
      <c r="C12" s="235">
        <f>Basiswerte!C17</f>
        <v>0.1484771573604061</v>
      </c>
      <c r="D12" s="235">
        <f>Basiswerte!D17</f>
        <v>0.19796954314720813</v>
      </c>
      <c r="E12" s="26"/>
    </row>
    <row r="13" spans="1:4" ht="12">
      <c r="A13" s="288" t="s">
        <v>184</v>
      </c>
      <c r="B13" s="236">
        <f>Basiswerte!B26</f>
        <v>115161.8</v>
      </c>
      <c r="C13" s="236">
        <f>Basiswerte!C26</f>
        <v>115161.8</v>
      </c>
      <c r="D13" s="236">
        <f>Basiswerte!D26</f>
        <v>115161.8</v>
      </c>
    </row>
    <row r="14" spans="1:4" s="8" customFormat="1" ht="15" customHeight="1">
      <c r="A14" s="289" t="s">
        <v>186</v>
      </c>
      <c r="B14" s="252">
        <f>B12*B13</f>
        <v>17098.896700507616</v>
      </c>
      <c r="C14" s="252">
        <f>C12*C13</f>
        <v>17098.896700507616</v>
      </c>
      <c r="D14" s="252">
        <f>D12*D13</f>
        <v>22798.528934010155</v>
      </c>
    </row>
    <row r="15" spans="1:4" s="230" customFormat="1" ht="12">
      <c r="A15" s="286" t="s">
        <v>172</v>
      </c>
      <c r="B15" s="250"/>
      <c r="C15" s="52"/>
      <c r="D15" s="52"/>
    </row>
    <row r="16" spans="1:5" ht="12.75" customHeight="1">
      <c r="A16" s="287" t="s">
        <v>77</v>
      </c>
      <c r="B16" s="237">
        <f>Belegungsplan_Jahr1!BH12</f>
        <v>25.000000000000004</v>
      </c>
      <c r="C16" s="238">
        <f>Belegungsplan_Jahr2!BH12</f>
        <v>27.583333333333332</v>
      </c>
      <c r="D16" s="238">
        <f>Belegungsplan_Jahr3!BH12</f>
        <v>27.333333333333336</v>
      </c>
      <c r="E16" s="26"/>
    </row>
    <row r="17" spans="1:6" ht="12">
      <c r="A17" s="285" t="s">
        <v>46</v>
      </c>
      <c r="B17" s="239">
        <f>B$6*B16</f>
        <v>975.0000000000001</v>
      </c>
      <c r="C17" s="239">
        <f>C$6*C16</f>
        <v>1075.75</v>
      </c>
      <c r="D17" s="239">
        <f>D$6*D16</f>
        <v>1066</v>
      </c>
      <c r="F17" s="45"/>
    </row>
    <row r="18" spans="1:6" ht="12">
      <c r="A18" s="287" t="s">
        <v>147</v>
      </c>
      <c r="B18" s="239">
        <f>B17*Basiswerte!B21</f>
        <v>12.500000000000002</v>
      </c>
      <c r="C18" s="239">
        <f>C17*Basiswerte!C21</f>
        <v>13.791666666666666</v>
      </c>
      <c r="D18" s="239">
        <f>D17*Basiswerte!D21</f>
        <v>13.666666666666666</v>
      </c>
      <c r="F18" s="45"/>
    </row>
    <row r="19" spans="1:6" ht="12">
      <c r="A19" s="290" t="s">
        <v>54</v>
      </c>
      <c r="B19" s="240">
        <f>Basiswerte!B19*Basiswerte!B11</f>
        <v>30</v>
      </c>
      <c r="C19" s="241">
        <f>Basiswerte!C19*Basiswerte!C11</f>
        <v>50</v>
      </c>
      <c r="D19" s="241">
        <f>Basiswerte!D19*Basiswerte!D11</f>
        <v>70</v>
      </c>
      <c r="F19" s="45"/>
    </row>
    <row r="20" spans="1:4" ht="12">
      <c r="A20" s="291" t="s">
        <v>191</v>
      </c>
      <c r="B20" s="242">
        <f>SUM(B17:B19)</f>
        <v>1017.5000000000001</v>
      </c>
      <c r="C20" s="243">
        <f>SUM(C17:C19)</f>
        <v>1139.5416666666667</v>
      </c>
      <c r="D20" s="243">
        <f>SUM(D17:D19)</f>
        <v>1149.6666666666667</v>
      </c>
    </row>
    <row r="21" spans="1:4" ht="12">
      <c r="A21" s="287" t="s">
        <v>13</v>
      </c>
      <c r="B21" s="239">
        <f>Basiswerte!B13</f>
        <v>1970</v>
      </c>
      <c r="C21" s="239">
        <f>Basiswerte!C13</f>
        <v>1970</v>
      </c>
      <c r="D21" s="239">
        <f>Basiswerte!D13</f>
        <v>1970</v>
      </c>
    </row>
    <row r="22" spans="1:5" ht="12" customHeight="1">
      <c r="A22" s="285" t="s">
        <v>65</v>
      </c>
      <c r="B22" s="244">
        <f>B20/B21</f>
        <v>0.5164974619289341</v>
      </c>
      <c r="C22" s="245">
        <f>C20/C21</f>
        <v>0.5784475465313029</v>
      </c>
      <c r="D22" s="245">
        <f>D20/D21</f>
        <v>0.5835871404399323</v>
      </c>
      <c r="E22" s="7"/>
    </row>
    <row r="23" spans="1:6" s="12" customFormat="1" ht="12" customHeight="1">
      <c r="A23" s="292" t="s">
        <v>103</v>
      </c>
      <c r="B23" s="246">
        <f>Basiswerte!B27</f>
        <v>98926</v>
      </c>
      <c r="C23" s="246">
        <f>Basiswerte!C27</f>
        <v>98926</v>
      </c>
      <c r="D23" s="246">
        <f>Basiswerte!D27</f>
        <v>98926</v>
      </c>
      <c r="E23" s="2"/>
      <c r="F23" s="2"/>
    </row>
    <row r="24" spans="1:4" s="8" customFormat="1" ht="12">
      <c r="A24" s="289" t="s">
        <v>132</v>
      </c>
      <c r="B24" s="252">
        <f>ROUND(B22*B23,0)</f>
        <v>51095</v>
      </c>
      <c r="C24" s="252">
        <f>ROUND(C22*C23,0)</f>
        <v>57224</v>
      </c>
      <c r="D24" s="252">
        <f>ROUND(D22*D23,0)</f>
        <v>57732</v>
      </c>
    </row>
    <row r="25" spans="1:4" s="230" customFormat="1" ht="12">
      <c r="A25" s="286" t="s">
        <v>141</v>
      </c>
      <c r="B25" s="250"/>
      <c r="C25" s="52"/>
      <c r="D25" s="52"/>
    </row>
    <row r="26" spans="1:5" ht="12.75" customHeight="1">
      <c r="A26" s="287" t="s">
        <v>77</v>
      </c>
      <c r="B26" s="237">
        <f>Belegungsplan_Jahr1!BH13</f>
        <v>0</v>
      </c>
      <c r="C26" s="238">
        <f>Belegungsplan_Jahr2!BH13</f>
        <v>23.416666666666668</v>
      </c>
      <c r="D26" s="238">
        <f>Belegungsplan_Jahr3!BH13</f>
        <v>25</v>
      </c>
      <c r="E26" s="26"/>
    </row>
    <row r="27" spans="1:4" ht="12.75" customHeight="1">
      <c r="A27" s="285" t="s">
        <v>66</v>
      </c>
      <c r="B27" s="239">
        <f>B$6*B26</f>
        <v>0</v>
      </c>
      <c r="C27" s="239">
        <f>C$6*C26</f>
        <v>913.25</v>
      </c>
      <c r="D27" s="239">
        <f>D$6*D26</f>
        <v>975</v>
      </c>
    </row>
    <row r="28" spans="1:4" ht="12">
      <c r="A28" s="287" t="s">
        <v>147</v>
      </c>
      <c r="B28" s="239">
        <f>B27*Basiswerte!B21</f>
        <v>0</v>
      </c>
      <c r="C28" s="239">
        <f>C27*Basiswerte!C21</f>
        <v>11.708333333333332</v>
      </c>
      <c r="D28" s="239">
        <f>D27*Basiswerte!D21</f>
        <v>12.5</v>
      </c>
    </row>
    <row r="29" spans="1:4" ht="12.75" customHeight="1">
      <c r="A29" s="288" t="s">
        <v>140</v>
      </c>
      <c r="B29" s="239">
        <f>IF(B26&gt;1,Basiswerte!B18,0)</f>
        <v>0</v>
      </c>
      <c r="C29" s="239">
        <f>IF(C26&gt;1,Basiswerte!C18,0)</f>
        <v>20</v>
      </c>
      <c r="D29" s="239">
        <f>IF(D26&gt;1,Basiswerte!D18,0)</f>
        <v>20</v>
      </c>
    </row>
    <row r="30" spans="1:4" ht="12">
      <c r="A30" s="291" t="s">
        <v>191</v>
      </c>
      <c r="B30" s="243">
        <f>SUM(B27:B29)</f>
        <v>0</v>
      </c>
      <c r="C30" s="243">
        <f>SUM(C27:C29)</f>
        <v>944.9583333333334</v>
      </c>
      <c r="D30" s="243">
        <f>SUM(D27:D29)</f>
        <v>1007.5</v>
      </c>
    </row>
    <row r="31" spans="1:4" ht="12">
      <c r="A31" s="287" t="s">
        <v>13</v>
      </c>
      <c r="B31" s="239">
        <f>Basiswerte!B13</f>
        <v>1970</v>
      </c>
      <c r="C31" s="239">
        <f>Basiswerte!C13</f>
        <v>1970</v>
      </c>
      <c r="D31" s="239">
        <f>Basiswerte!D13</f>
        <v>1970</v>
      </c>
    </row>
    <row r="32" spans="1:5" ht="12" customHeight="1">
      <c r="A32" s="285" t="s">
        <v>83</v>
      </c>
      <c r="B32" s="245">
        <f>B30/B31</f>
        <v>0</v>
      </c>
      <c r="C32" s="245">
        <f>C30/C31</f>
        <v>0.47967428087986463</v>
      </c>
      <c r="D32" s="245">
        <f>D30/D31</f>
        <v>0.5114213197969543</v>
      </c>
      <c r="E32" s="7"/>
    </row>
    <row r="33" spans="1:6" s="12" customFormat="1" ht="12" customHeight="1">
      <c r="A33" s="292" t="s">
        <v>103</v>
      </c>
      <c r="B33" s="246">
        <f>Basiswerte!B27</f>
        <v>98926</v>
      </c>
      <c r="C33" s="246">
        <f>Basiswerte!C27</f>
        <v>98926</v>
      </c>
      <c r="D33" s="246">
        <f>Basiswerte!D27</f>
        <v>98926</v>
      </c>
      <c r="E33" s="2"/>
      <c r="F33" s="2"/>
    </row>
    <row r="34" spans="1:4" s="8" customFormat="1" ht="15" customHeight="1">
      <c r="A34" s="289" t="s">
        <v>60</v>
      </c>
      <c r="B34" s="252">
        <f>ROUND(B32*B33,0)</f>
        <v>0</v>
      </c>
      <c r="C34" s="252">
        <f>ROUND(C32*C33,0)</f>
        <v>47452</v>
      </c>
      <c r="D34" s="252">
        <f>ROUND(D32*D33,0)</f>
        <v>50593</v>
      </c>
    </row>
    <row r="35" spans="1:4" s="230" customFormat="1" ht="12">
      <c r="A35" s="286" t="s">
        <v>72</v>
      </c>
      <c r="B35" s="250"/>
      <c r="C35" s="251"/>
      <c r="D35" s="251"/>
    </row>
    <row r="36" spans="1:4" ht="12">
      <c r="A36" s="287" t="s">
        <v>77</v>
      </c>
      <c r="B36" s="237">
        <f>Belegungsplan_Jahr1!BH14</f>
        <v>14.833333333333334</v>
      </c>
      <c r="C36" s="239">
        <f>Belegungsplan_Jahr2!BH14</f>
        <v>8.91666666666667</v>
      </c>
      <c r="D36" s="239">
        <f>Belegungsplan_Jahr3!BH14</f>
        <v>23.416666666666668</v>
      </c>
    </row>
    <row r="37" spans="1:4" ht="12">
      <c r="A37" s="285" t="s">
        <v>66</v>
      </c>
      <c r="B37" s="239">
        <f>B$6*B36</f>
        <v>578.5</v>
      </c>
      <c r="C37" s="239">
        <f>C$6*C36</f>
        <v>347.7500000000001</v>
      </c>
      <c r="D37" s="239">
        <f>D$6*D36</f>
        <v>913.25</v>
      </c>
    </row>
    <row r="38" spans="1:4" ht="12">
      <c r="A38" s="287" t="s">
        <v>147</v>
      </c>
      <c r="B38" s="239">
        <f>B37*Basiswerte!B21</f>
        <v>7.416666666666666</v>
      </c>
      <c r="C38" s="239">
        <f>C37*Basiswerte!C21</f>
        <v>4.458333333333335</v>
      </c>
      <c r="D38" s="239">
        <f>D37*Basiswerte!D21</f>
        <v>11.708333333333332</v>
      </c>
    </row>
    <row r="39" spans="1:4" s="4" customFormat="1" ht="12">
      <c r="A39" s="288" t="s">
        <v>140</v>
      </c>
      <c r="B39" s="239">
        <f>IF(B36&gt;1,Basiswerte!B18,0)</f>
        <v>20</v>
      </c>
      <c r="C39" s="239">
        <f>IF(C36&gt;1,Basiswerte!C18,0)</f>
        <v>20</v>
      </c>
      <c r="D39" s="239">
        <f>IF(D36&gt;1,Basiswerte!D18,0)</f>
        <v>20</v>
      </c>
    </row>
    <row r="40" spans="1:4" ht="12">
      <c r="A40" s="291" t="s">
        <v>191</v>
      </c>
      <c r="B40" s="248">
        <f>SUM(B37:B39)</f>
        <v>605.9166666666666</v>
      </c>
      <c r="C40" s="248">
        <f>SUM(C37:C39)</f>
        <v>372.2083333333334</v>
      </c>
      <c r="D40" s="248">
        <f>SUM(D37:D39)</f>
        <v>944.9583333333334</v>
      </c>
    </row>
    <row r="41" spans="1:4" ht="12">
      <c r="A41" s="287" t="s">
        <v>13</v>
      </c>
      <c r="B41" s="239">
        <f>Basiswerte!B13</f>
        <v>1970</v>
      </c>
      <c r="C41" s="239">
        <f>Basiswerte!C13</f>
        <v>1970</v>
      </c>
      <c r="D41" s="239">
        <f>Basiswerte!D13</f>
        <v>1970</v>
      </c>
    </row>
    <row r="42" spans="1:4" ht="12">
      <c r="A42" s="285" t="s">
        <v>83</v>
      </c>
      <c r="B42" s="249">
        <f>B40/B41</f>
        <v>0.30757191201353634</v>
      </c>
      <c r="C42" s="249">
        <f>C40/C41</f>
        <v>0.18893824027072764</v>
      </c>
      <c r="D42" s="249">
        <f>D40/D41</f>
        <v>0.47967428087986463</v>
      </c>
    </row>
    <row r="43" spans="1:4" ht="12">
      <c r="A43" s="292" t="s">
        <v>102</v>
      </c>
      <c r="B43" s="236">
        <f>Basiswerte!B28</f>
        <v>63000</v>
      </c>
      <c r="C43" s="236">
        <f>Basiswerte!C28</f>
        <v>63000</v>
      </c>
      <c r="D43" s="236">
        <f>Basiswerte!D28</f>
        <v>63000</v>
      </c>
    </row>
    <row r="44" spans="1:4" s="8" customFormat="1" ht="15" customHeight="1">
      <c r="A44" s="289" t="s">
        <v>139</v>
      </c>
      <c r="B44" s="252">
        <f>B43*B42</f>
        <v>19377.03045685279</v>
      </c>
      <c r="C44" s="252">
        <f>C43*C42</f>
        <v>11903.10913705584</v>
      </c>
      <c r="D44" s="252">
        <f>D43*D42</f>
        <v>30219.479695431473</v>
      </c>
    </row>
    <row r="45" spans="1:4" s="230" customFormat="1" ht="12">
      <c r="A45" s="286" t="s">
        <v>111</v>
      </c>
      <c r="B45" s="250"/>
      <c r="C45" s="251"/>
      <c r="D45" s="251"/>
    </row>
    <row r="46" spans="1:4" ht="12">
      <c r="A46" s="287" t="s">
        <v>77</v>
      </c>
      <c r="B46" s="237">
        <f>Belegungsplan_Jahr1!BH15</f>
        <v>0</v>
      </c>
      <c r="C46" s="239">
        <f>Belegungsplan_Jahr2!BH15</f>
        <v>0</v>
      </c>
      <c r="D46" s="239">
        <f>Belegungsplan_Jahr3!BH15</f>
        <v>7.333333333333337</v>
      </c>
    </row>
    <row r="47" spans="1:4" ht="12">
      <c r="A47" s="285" t="s">
        <v>66</v>
      </c>
      <c r="B47" s="239">
        <f>B$6*B46</f>
        <v>0</v>
      </c>
      <c r="C47" s="239">
        <f>C$6*C46</f>
        <v>0</v>
      </c>
      <c r="D47" s="239">
        <f>D$6*D46</f>
        <v>286.0000000000001</v>
      </c>
    </row>
    <row r="48" spans="1:4" ht="12">
      <c r="A48" s="287" t="s">
        <v>147</v>
      </c>
      <c r="B48" s="239">
        <f>B47*Basiswerte!B21</f>
        <v>0</v>
      </c>
      <c r="C48" s="239">
        <f>C47*Basiswerte!C21</f>
        <v>0</v>
      </c>
      <c r="D48" s="239">
        <f>D47*Basiswerte!D21</f>
        <v>3.666666666666668</v>
      </c>
    </row>
    <row r="49" spans="1:4" s="4" customFormat="1" ht="12">
      <c r="A49" s="288" t="s">
        <v>140</v>
      </c>
      <c r="B49" s="239">
        <f>IF(B46&gt;1,Basiswerte!B18,0)</f>
        <v>0</v>
      </c>
      <c r="C49" s="239">
        <f>IF(C46&gt;1,Basiswerte!C18,0)</f>
        <v>0</v>
      </c>
      <c r="D49" s="239">
        <f>IF(D46&gt;1,Basiswerte!D18,0)</f>
        <v>20</v>
      </c>
    </row>
    <row r="50" spans="1:4" ht="12">
      <c r="A50" s="291" t="s">
        <v>191</v>
      </c>
      <c r="B50" s="248">
        <f>SUM(B47:B49)</f>
        <v>0</v>
      </c>
      <c r="C50" s="248">
        <f>SUM(C47:C49)</f>
        <v>0</v>
      </c>
      <c r="D50" s="248">
        <f>SUM(D47:D49)</f>
        <v>309.6666666666668</v>
      </c>
    </row>
    <row r="51" spans="1:4" ht="12">
      <c r="A51" s="287" t="s">
        <v>13</v>
      </c>
      <c r="B51" s="239">
        <f>Basiswerte!B13</f>
        <v>1970</v>
      </c>
      <c r="C51" s="239">
        <f>Basiswerte!C13</f>
        <v>1970</v>
      </c>
      <c r="D51" s="239">
        <f>Basiswerte!D13</f>
        <v>1970</v>
      </c>
    </row>
    <row r="52" spans="1:4" ht="12">
      <c r="A52" s="285" t="s">
        <v>83</v>
      </c>
      <c r="B52" s="249">
        <f>B50/B51</f>
        <v>0</v>
      </c>
      <c r="C52" s="249">
        <f>C50/C51</f>
        <v>0</v>
      </c>
      <c r="D52" s="249">
        <f>D50/D51</f>
        <v>0.15719120135363798</v>
      </c>
    </row>
    <row r="53" spans="1:4" ht="12">
      <c r="A53" s="292" t="s">
        <v>102</v>
      </c>
      <c r="B53" s="236">
        <f>Basiswerte!B28</f>
        <v>63000</v>
      </c>
      <c r="C53" s="236">
        <f>Basiswerte!C28</f>
        <v>63000</v>
      </c>
      <c r="D53" s="236">
        <f>Basiswerte!D28</f>
        <v>63000</v>
      </c>
    </row>
    <row r="54" spans="1:4" s="8" customFormat="1" ht="15" customHeight="1">
      <c r="A54" s="293" t="s">
        <v>61</v>
      </c>
      <c r="B54" s="253">
        <f>B53*B52</f>
        <v>0</v>
      </c>
      <c r="C54" s="253">
        <f>C53*C52</f>
        <v>0</v>
      </c>
      <c r="D54" s="253">
        <f>D53*D52</f>
        <v>9903.045685279192</v>
      </c>
    </row>
    <row r="55" spans="1:4" s="230" customFormat="1" ht="12">
      <c r="A55" s="286" t="s">
        <v>25</v>
      </c>
      <c r="B55" s="250"/>
      <c r="C55" s="251"/>
      <c r="D55" s="251"/>
    </row>
    <row r="56" spans="1:4" ht="12">
      <c r="A56" s="287" t="s">
        <v>100</v>
      </c>
      <c r="B56" s="238">
        <f>Basiswerte!B32</f>
        <v>3</v>
      </c>
      <c r="C56" s="238">
        <f>Basiswerte!C32</f>
        <v>4</v>
      </c>
      <c r="D56" s="238">
        <f>Basiswerte!D32</f>
        <v>4.5</v>
      </c>
    </row>
    <row r="57" spans="1:4" ht="12">
      <c r="A57" s="285" t="s">
        <v>26</v>
      </c>
      <c r="B57" s="238">
        <f>B56*B6*Basiswerte!B9</f>
        <v>585</v>
      </c>
      <c r="C57" s="238">
        <f>C56*C6*Basiswerte!C9</f>
        <v>780</v>
      </c>
      <c r="D57" s="238">
        <f>D56*D6*Basiswerte!D9</f>
        <v>877.5</v>
      </c>
    </row>
    <row r="58" spans="1:4" s="4" customFormat="1" ht="12">
      <c r="A58" s="288" t="s">
        <v>140</v>
      </c>
      <c r="B58" s="239">
        <f>IF(B56&gt;1,Basiswerte!B18,0)</f>
        <v>20</v>
      </c>
      <c r="C58" s="239">
        <f>IF(C56&gt;1,Basiswerte!C18,0)</f>
        <v>20</v>
      </c>
      <c r="D58" s="239">
        <f>IF(D56&gt;1,Basiswerte!D18,0)</f>
        <v>20</v>
      </c>
    </row>
    <row r="59" spans="1:4" ht="12">
      <c r="A59" s="291" t="s">
        <v>191</v>
      </c>
      <c r="B59" s="248">
        <f>SUM(B57:B58)</f>
        <v>605</v>
      </c>
      <c r="C59" s="248">
        <f>SUM(C57:C58)</f>
        <v>800</v>
      </c>
      <c r="D59" s="248">
        <f>SUM(D57:D58)</f>
        <v>897.5</v>
      </c>
    </row>
    <row r="60" spans="1:4" ht="12">
      <c r="A60" s="287" t="s">
        <v>13</v>
      </c>
      <c r="B60" s="239">
        <f>Basiswerte!B13</f>
        <v>1970</v>
      </c>
      <c r="C60" s="239">
        <f>Basiswerte!C13</f>
        <v>1970</v>
      </c>
      <c r="D60" s="239">
        <f>Basiswerte!D13</f>
        <v>1970</v>
      </c>
    </row>
    <row r="61" spans="1:4" ht="12">
      <c r="A61" s="285" t="s">
        <v>8</v>
      </c>
      <c r="B61" s="249">
        <f>B59/B60</f>
        <v>0.30710659898477155</v>
      </c>
      <c r="C61" s="249">
        <f>C59/C60</f>
        <v>0.40609137055837563</v>
      </c>
      <c r="D61" s="249">
        <f>D59/D60</f>
        <v>0.45558375634517767</v>
      </c>
    </row>
    <row r="62" spans="1:4" ht="12">
      <c r="A62" s="292" t="s">
        <v>102</v>
      </c>
      <c r="B62" s="236">
        <f>Basiswerte!B29</f>
        <v>68000</v>
      </c>
      <c r="C62" s="236">
        <f>Basiswerte!C29</f>
        <v>68000</v>
      </c>
      <c r="D62" s="236">
        <f>Basiswerte!D29</f>
        <v>68000</v>
      </c>
    </row>
    <row r="63" spans="1:4" s="8" customFormat="1" ht="15" customHeight="1">
      <c r="A63" s="293" t="s">
        <v>92</v>
      </c>
      <c r="B63" s="253">
        <f>B62*B61</f>
        <v>20883.248730964464</v>
      </c>
      <c r="C63" s="253">
        <f>C62*C61</f>
        <v>27614.213197969544</v>
      </c>
      <c r="D63" s="253">
        <f>D62*D61</f>
        <v>30979.695431472082</v>
      </c>
    </row>
    <row r="64" spans="1:4" s="270" customFormat="1" ht="15" customHeight="1">
      <c r="A64" s="268"/>
      <c r="B64" s="269"/>
      <c r="C64" s="269"/>
      <c r="D64" s="269"/>
    </row>
    <row r="66" ht="12">
      <c r="A66" s="46" t="s">
        <v>122</v>
      </c>
    </row>
  </sheetData>
  <printOptions/>
  <pageMargins left="0.984251968503937" right="0.5905511811023623" top="0.7874015748031497" bottom="0.5905511811023623" header="0.5118110236220472" footer="0.5118110236220472"/>
  <pageSetup fitToHeight="1" fitToWidth="1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SheetLayoutView="150" workbookViewId="0" topLeftCell="A1">
      <selection activeCell="A29" sqref="A29"/>
    </sheetView>
  </sheetViews>
  <sheetFormatPr defaultColWidth="11.00390625" defaultRowHeight="12"/>
  <cols>
    <col min="1" max="1" width="28.375" style="6" customWidth="1"/>
    <col min="2" max="4" width="8.875" style="2" customWidth="1"/>
    <col min="5" max="5" width="5.625" style="32" customWidth="1"/>
    <col min="6" max="6" width="31.875" style="9" bestFit="1" customWidth="1"/>
    <col min="7" max="7" width="24.375" style="2" customWidth="1"/>
    <col min="8" max="16384" width="10.875" style="2" customWidth="1"/>
  </cols>
  <sheetData>
    <row r="1" spans="1:6" ht="12">
      <c r="A1" s="2" t="str">
        <f>Basiswerte!A1</f>
        <v>Budgettool zur Berechnung der Betriebskosten eines Tagesschulangebotes</v>
      </c>
      <c r="F1" s="5"/>
    </row>
    <row r="2" ht="12">
      <c r="A2" s="2" t="str">
        <f>Basiswerte!A2</f>
        <v>Variante selber kochen</v>
      </c>
    </row>
    <row r="3" spans="5:6" s="3" customFormat="1" ht="12">
      <c r="E3" s="33"/>
      <c r="F3" s="27"/>
    </row>
    <row r="4" spans="1:6" s="3" customFormat="1" ht="15">
      <c r="A4" s="273" t="s">
        <v>85</v>
      </c>
      <c r="E4" s="33"/>
      <c r="F4" s="27"/>
    </row>
    <row r="5" spans="5:6" s="3" customFormat="1" ht="12">
      <c r="E5" s="33"/>
      <c r="F5" s="27"/>
    </row>
    <row r="6" spans="1:6" s="3" customFormat="1" ht="12">
      <c r="A6" s="2" t="s">
        <v>39</v>
      </c>
      <c r="E6" s="33"/>
      <c r="F6" s="27"/>
    </row>
    <row r="7" spans="1:6" s="3" customFormat="1" ht="12">
      <c r="A7" s="2" t="s">
        <v>40</v>
      </c>
      <c r="B7" s="2"/>
      <c r="C7" s="2"/>
      <c r="D7" s="2"/>
      <c r="E7" s="33"/>
      <c r="F7" s="27"/>
    </row>
    <row r="8" spans="1:6" s="3" customFormat="1" ht="12">
      <c r="A8" s="2" t="s">
        <v>149</v>
      </c>
      <c r="B8" s="160">
        <v>1</v>
      </c>
      <c r="C8" s="2"/>
      <c r="D8" s="2"/>
      <c r="E8" s="33"/>
      <c r="F8" s="27"/>
    </row>
    <row r="9" spans="1:6" s="3" customFormat="1" ht="12">
      <c r="A9" s="2"/>
      <c r="B9" s="2"/>
      <c r="C9" s="2"/>
      <c r="D9" s="2"/>
      <c r="E9" s="33"/>
      <c r="F9" s="27"/>
    </row>
    <row r="10" spans="1:6" s="3" customFormat="1" ht="12">
      <c r="A10" s="2"/>
      <c r="B10" s="2"/>
      <c r="C10" s="2"/>
      <c r="D10" s="2"/>
      <c r="E10" s="33"/>
      <c r="F10" s="27"/>
    </row>
    <row r="11" spans="1:6" s="3" customFormat="1" ht="12">
      <c r="A11" s="55" t="s">
        <v>63</v>
      </c>
      <c r="E11" s="33"/>
      <c r="F11" s="27"/>
    </row>
    <row r="12" spans="1:6" s="6" customFormat="1" ht="12">
      <c r="A12" s="294"/>
      <c r="B12" s="56" t="s">
        <v>195</v>
      </c>
      <c r="C12" s="56" t="s">
        <v>171</v>
      </c>
      <c r="D12" s="56" t="s">
        <v>167</v>
      </c>
      <c r="E12" s="47"/>
      <c r="F12" s="10"/>
    </row>
    <row r="13" spans="1:5" s="11" customFormat="1" ht="12">
      <c r="A13" s="15" t="s">
        <v>5</v>
      </c>
      <c r="B13" s="239">
        <f>Basiswerte!B10</f>
        <v>15</v>
      </c>
      <c r="C13" s="239">
        <f>Basiswerte!C10</f>
        <v>30</v>
      </c>
      <c r="D13" s="239">
        <f>Basiswerte!D10</f>
        <v>40</v>
      </c>
      <c r="E13" s="35"/>
    </row>
    <row r="14" spans="1:6" s="11" customFormat="1" ht="12">
      <c r="A14" s="15" t="s">
        <v>176</v>
      </c>
      <c r="B14" s="254">
        <f>Belegungsplan_Jahr1!BH25</f>
        <v>8.88</v>
      </c>
      <c r="C14" s="254">
        <f>Belegungsplan_Jahr2!BH25</f>
        <v>16.52</v>
      </c>
      <c r="D14" s="254">
        <f>Belegungsplan_Jahr3!BH25</f>
        <v>24.139999999999997</v>
      </c>
      <c r="E14" s="41"/>
      <c r="F14" s="26"/>
    </row>
    <row r="15" spans="1:6" s="11" customFormat="1" ht="12">
      <c r="A15" s="15" t="s">
        <v>84</v>
      </c>
      <c r="B15" s="239">
        <f>Basiswerte!B7*Basiswerte!B8</f>
        <v>195</v>
      </c>
      <c r="C15" s="239">
        <f>Basiswerte!C7*Basiswerte!C8</f>
        <v>195</v>
      </c>
      <c r="D15" s="239">
        <f>Basiswerte!D7*Basiswerte!D8</f>
        <v>195</v>
      </c>
      <c r="E15" s="35"/>
      <c r="F15" s="26"/>
    </row>
    <row r="16" spans="1:6" s="11" customFormat="1" ht="12">
      <c r="A16" s="16" t="s">
        <v>177</v>
      </c>
      <c r="B16" s="239">
        <f>B13*B15</f>
        <v>2925</v>
      </c>
      <c r="C16" s="239">
        <f>C13*C15</f>
        <v>5850</v>
      </c>
      <c r="D16" s="239">
        <f>D13*D15</f>
        <v>7800</v>
      </c>
      <c r="E16" s="35"/>
      <c r="F16" s="26"/>
    </row>
    <row r="17" spans="1:6" s="11" customFormat="1" ht="12">
      <c r="A17" s="31" t="s">
        <v>178</v>
      </c>
      <c r="B17" s="255">
        <f>B14*B15</f>
        <v>1731.6000000000001</v>
      </c>
      <c r="C17" s="255">
        <f>C14*C15</f>
        <v>3221.4</v>
      </c>
      <c r="D17" s="255">
        <f>D14*D15</f>
        <v>4707.299999999999</v>
      </c>
      <c r="E17" s="35"/>
      <c r="F17" s="26"/>
    </row>
    <row r="18" spans="1:6" s="14" customFormat="1" ht="12">
      <c r="A18" s="49"/>
      <c r="B18" s="23"/>
      <c r="C18" s="23"/>
      <c r="D18" s="23"/>
      <c r="E18" s="35"/>
      <c r="F18" s="26"/>
    </row>
    <row r="19" spans="1:6" s="14" customFormat="1" ht="12">
      <c r="A19" s="53" t="s">
        <v>79</v>
      </c>
      <c r="E19" s="35"/>
      <c r="F19" s="26"/>
    </row>
    <row r="20" spans="1:6" s="42" customFormat="1" ht="12">
      <c r="A20" s="295"/>
      <c r="B20" s="56" t="str">
        <f>B12</f>
        <v>Jahr 1</v>
      </c>
      <c r="C20" s="56" t="str">
        <f>C12</f>
        <v>Jahr 2</v>
      </c>
      <c r="D20" s="56" t="str">
        <f>D12</f>
        <v>Jahr 3</v>
      </c>
      <c r="E20" s="48"/>
      <c r="F20" s="49"/>
    </row>
    <row r="21" spans="1:5" ht="12">
      <c r="A21" s="28" t="s">
        <v>10</v>
      </c>
      <c r="B21" s="30"/>
      <c r="C21" s="30"/>
      <c r="D21" s="30"/>
      <c r="E21" s="35"/>
    </row>
    <row r="22" spans="1:5" ht="12">
      <c r="A22" s="19" t="s">
        <v>130</v>
      </c>
      <c r="B22" s="247">
        <f>B15/225*B13*1500*B8</f>
        <v>19500</v>
      </c>
      <c r="C22" s="20"/>
      <c r="D22" s="20"/>
      <c r="E22" s="35"/>
    </row>
    <row r="23" spans="1:5" ht="12">
      <c r="A23" s="19" t="s">
        <v>81</v>
      </c>
      <c r="B23" s="247">
        <f>B15/225*1500*B14*B8</f>
        <v>11544.000000000002</v>
      </c>
      <c r="C23" s="247">
        <f>C15/225*3000*C14*B8</f>
        <v>42952</v>
      </c>
      <c r="D23" s="247">
        <f>D15/225*3000*D14/2*B8</f>
        <v>31381.999999999996</v>
      </c>
      <c r="E23" s="35"/>
    </row>
    <row r="24" spans="1:6" s="12" customFormat="1" ht="16.5" customHeight="1">
      <c r="A24" s="51" t="s">
        <v>6</v>
      </c>
      <c r="B24" s="256">
        <f>SUM(B22:B23)</f>
        <v>31044</v>
      </c>
      <c r="C24" s="256">
        <f>SUM(C22:C23)</f>
        <v>42952</v>
      </c>
      <c r="D24" s="256">
        <f>SUM(D22:D23)</f>
        <v>31381.999999999996</v>
      </c>
      <c r="E24" s="34"/>
      <c r="F24" s="21"/>
    </row>
    <row r="25" ht="12.75"/>
    <row r="26" ht="12.75">
      <c r="A26" s="6"/>
    </row>
    <row r="27" ht="12" customHeight="1"/>
    <row r="28" ht="12" customHeight="1"/>
    <row r="29" ht="12" customHeight="1">
      <c r="A29" s="46" t="s">
        <v>122</v>
      </c>
    </row>
    <row r="30" ht="12" customHeight="1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printOptions/>
  <pageMargins left="0.984251968503937" right="0.5905511811023623" top="0.7874015748031497" bottom="0.5905511811023623" header="0.5118110236220472" footer="0.5118110236220472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="150" zoomScaleNormal="150" zoomScaleSheetLayoutView="150" workbookViewId="0" topLeftCell="A8">
      <selection activeCell="A44" sqref="A44"/>
    </sheetView>
  </sheetViews>
  <sheetFormatPr defaultColWidth="11.00390625" defaultRowHeight="12"/>
  <cols>
    <col min="1" max="1" width="38.375" style="6" customWidth="1"/>
    <col min="2" max="3" width="8.875" style="2" customWidth="1"/>
    <col min="4" max="4" width="8.875" style="32" customWidth="1"/>
    <col min="5" max="5" width="31.875" style="9" bestFit="1" customWidth="1"/>
    <col min="6" max="6" width="24.375" style="2" customWidth="1"/>
    <col min="7" max="16384" width="10.875" style="2" customWidth="1"/>
  </cols>
  <sheetData>
    <row r="1" spans="1:5" ht="12">
      <c r="A1" s="2" t="str">
        <f>Basiswerte!A1</f>
        <v>Budgettool zur Berechnung der Betriebskosten eines Tagesschulangebotes</v>
      </c>
      <c r="E1" s="5"/>
    </row>
    <row r="2" ht="12">
      <c r="A2" s="2" t="str">
        <f>Basiswerte!A2</f>
        <v>Variante selber kochen</v>
      </c>
    </row>
    <row r="3" ht="12">
      <c r="A3" s="2"/>
    </row>
    <row r="4" ht="12">
      <c r="A4" s="2"/>
    </row>
    <row r="5" ht="15">
      <c r="A5" s="1" t="s">
        <v>38</v>
      </c>
    </row>
    <row r="6" spans="4:5" s="3" customFormat="1" ht="12">
      <c r="D6" s="33"/>
      <c r="E6" s="27"/>
    </row>
    <row r="7" spans="4:5" s="3" customFormat="1" ht="12">
      <c r="D7" s="33"/>
      <c r="E7" s="27"/>
    </row>
    <row r="8" spans="1:5" s="6" customFormat="1" ht="12">
      <c r="A8" s="274" t="s">
        <v>63</v>
      </c>
      <c r="B8" s="56" t="s">
        <v>195</v>
      </c>
      <c r="C8" s="56" t="s">
        <v>171</v>
      </c>
      <c r="D8" s="56" t="s">
        <v>167</v>
      </c>
      <c r="E8" s="10"/>
    </row>
    <row r="9" spans="1:5" s="6" customFormat="1" ht="12">
      <c r="A9" s="19" t="s">
        <v>180</v>
      </c>
      <c r="B9" s="257">
        <f>Basiswerte!B7*Basiswerte!B8</f>
        <v>195</v>
      </c>
      <c r="C9" s="257">
        <f>Basiswerte!C7*Basiswerte!C8</f>
        <v>195</v>
      </c>
      <c r="D9" s="257">
        <f>Basiswerte!D7*Basiswerte!D8</f>
        <v>195</v>
      </c>
      <c r="E9" s="10"/>
    </row>
    <row r="10" spans="1:4" s="11" customFormat="1" ht="12">
      <c r="A10" s="15" t="s">
        <v>170</v>
      </c>
      <c r="B10" s="239">
        <f>Basiswerte!B10</f>
        <v>15</v>
      </c>
      <c r="C10" s="239">
        <f>Basiswerte!C10</f>
        <v>30</v>
      </c>
      <c r="D10" s="239">
        <f>Basiswerte!D10</f>
        <v>40</v>
      </c>
    </row>
    <row r="11" spans="1:4" s="11" customFormat="1" ht="22.5">
      <c r="A11" s="111" t="s">
        <v>48</v>
      </c>
      <c r="B11" s="238">
        <f>Belegungsplan_Jahr1!BH25</f>
        <v>8.88</v>
      </c>
      <c r="C11" s="238">
        <f>Belegungsplan_Jahr2!BH25</f>
        <v>16.52</v>
      </c>
      <c r="D11" s="238">
        <f>Belegungsplan_Jahr3!BH25</f>
        <v>24.139999999999997</v>
      </c>
    </row>
    <row r="12" spans="1:5" s="11" customFormat="1" ht="12">
      <c r="A12" s="15" t="s">
        <v>30</v>
      </c>
      <c r="B12" s="239">
        <f>Belegungsplan_Jahr1!BH23</f>
        <v>51</v>
      </c>
      <c r="C12" s="239">
        <f>Belegungsplan_Jahr2!BH23</f>
        <v>91</v>
      </c>
      <c r="D12" s="239">
        <f>Belegungsplan_Jahr3!BH23</f>
        <v>132</v>
      </c>
      <c r="E12" s="26"/>
    </row>
    <row r="13" spans="1:5" s="11" customFormat="1" ht="12">
      <c r="A13" s="15" t="s">
        <v>69</v>
      </c>
      <c r="B13" s="247">
        <f>B12*Basiswerte!B7</f>
        <v>1989</v>
      </c>
      <c r="C13" s="247">
        <f>C12*Basiswerte!C7</f>
        <v>3549</v>
      </c>
      <c r="D13" s="247">
        <f>D12*Basiswerte!D7</f>
        <v>5148</v>
      </c>
      <c r="E13" s="26"/>
    </row>
    <row r="14" spans="1:5" s="11" customFormat="1" ht="12">
      <c r="A14" s="15" t="s">
        <v>11</v>
      </c>
      <c r="B14" s="247">
        <f>Belegungsplan_Jahr1!BH24</f>
        <v>17</v>
      </c>
      <c r="C14" s="247">
        <f>Belegungsplan_Jahr2!BH24</f>
        <v>31</v>
      </c>
      <c r="D14" s="247">
        <f>Belegungsplan_Jahr3!BH24</f>
        <v>51</v>
      </c>
      <c r="E14" s="26"/>
    </row>
    <row r="15" spans="1:5" s="11" customFormat="1" ht="12">
      <c r="A15" s="15" t="s">
        <v>152</v>
      </c>
      <c r="B15" s="247">
        <f>B14*Basiswerte!B7</f>
        <v>663</v>
      </c>
      <c r="C15" s="247">
        <f>C14*Basiswerte!C7</f>
        <v>1209</v>
      </c>
      <c r="D15" s="247">
        <f>D14*Basiswerte!D7</f>
        <v>1989</v>
      </c>
      <c r="E15" s="26"/>
    </row>
    <row r="16" spans="1:5" s="11" customFormat="1" ht="12">
      <c r="A16" s="16" t="s">
        <v>64</v>
      </c>
      <c r="B16" s="247">
        <f>Belegungsplan_Jahr1!BH22*Basiswerte!B7</f>
        <v>9051.25</v>
      </c>
      <c r="C16" s="247">
        <f>Belegungsplan_Jahr2!BH22*Basiswerte!C7</f>
        <v>17221.750000000004</v>
      </c>
      <c r="D16" s="247">
        <f>Belegungsplan_Jahr3!BH22*Basiswerte!D7</f>
        <v>25694.5</v>
      </c>
      <c r="E16" s="26"/>
    </row>
    <row r="17" spans="1:5" s="11" customFormat="1" ht="12">
      <c r="A17" s="16" t="s">
        <v>181</v>
      </c>
      <c r="B17" s="247">
        <f>B10*B9</f>
        <v>2925</v>
      </c>
      <c r="C17" s="247">
        <f>C10*C9</f>
        <v>5850</v>
      </c>
      <c r="D17" s="247">
        <f>D10*D9</f>
        <v>7800</v>
      </c>
      <c r="E17" s="26"/>
    </row>
    <row r="18" spans="1:5" s="11" customFormat="1" ht="12">
      <c r="A18" s="31" t="s">
        <v>182</v>
      </c>
      <c r="B18" s="236">
        <f>B11*B9</f>
        <v>1731.6000000000001</v>
      </c>
      <c r="C18" s="236">
        <f>C11*C9</f>
        <v>3221.4</v>
      </c>
      <c r="D18" s="236">
        <f>D11*D9</f>
        <v>4707.299999999999</v>
      </c>
      <c r="E18" s="26"/>
    </row>
    <row r="19" spans="2:5" s="14" customFormat="1" ht="12">
      <c r="B19" s="13"/>
      <c r="C19" s="13"/>
      <c r="D19" s="13"/>
      <c r="E19" s="26"/>
    </row>
    <row r="20" spans="2:5" s="11" customFormat="1" ht="12">
      <c r="B20" s="14"/>
      <c r="C20" s="14"/>
      <c r="D20" s="14"/>
      <c r="E20" s="26"/>
    </row>
    <row r="21" spans="1:5" s="59" customFormat="1" ht="12">
      <c r="A21" s="53" t="s">
        <v>150</v>
      </c>
      <c r="B21" s="275" t="str">
        <f>B8</f>
        <v>Jahr 1</v>
      </c>
      <c r="C21" s="275" t="str">
        <f>C8</f>
        <v>Jahr 2</v>
      </c>
      <c r="D21" s="275" t="str">
        <f>D8</f>
        <v>Jahr 3</v>
      </c>
      <c r="E21" s="46"/>
    </row>
    <row r="22" spans="1:4" ht="12">
      <c r="A22" s="37" t="s">
        <v>14</v>
      </c>
      <c r="B22" s="30"/>
      <c r="C22" s="30"/>
      <c r="D22" s="30"/>
    </row>
    <row r="23" spans="1:4" ht="12">
      <c r="A23" s="19" t="s">
        <v>119</v>
      </c>
      <c r="B23" s="247">
        <f>'Arbeitszeit, Löhne'!B10</f>
        <v>2375.634517766497</v>
      </c>
      <c r="C23" s="247">
        <f>'Arbeitszeit, Löhne'!C10</f>
        <v>2375.634517766497</v>
      </c>
      <c r="D23" s="247">
        <f>'Arbeitszeit, Löhne'!D10</f>
        <v>2375.634517766497</v>
      </c>
    </row>
    <row r="24" spans="1:4" ht="12">
      <c r="A24" s="19" t="s">
        <v>127</v>
      </c>
      <c r="B24" s="247">
        <f>'Arbeitszeit, Löhne'!B14</f>
        <v>17098.896700507616</v>
      </c>
      <c r="C24" s="247">
        <f>'Arbeitszeit, Löhne'!C14</f>
        <v>17098.896700507616</v>
      </c>
      <c r="D24" s="247">
        <f>'Arbeitszeit, Löhne'!D14</f>
        <v>22798.528934010155</v>
      </c>
    </row>
    <row r="25" spans="1:4" ht="12">
      <c r="A25" s="19" t="s">
        <v>169</v>
      </c>
      <c r="B25" s="247">
        <f>'Arbeitszeit, Löhne'!B24</f>
        <v>51095</v>
      </c>
      <c r="C25" s="247">
        <f>'Arbeitszeit, Löhne'!C24</f>
        <v>57224</v>
      </c>
      <c r="D25" s="247">
        <f>'Arbeitszeit, Löhne'!D24</f>
        <v>57732</v>
      </c>
    </row>
    <row r="26" spans="1:4" ht="12">
      <c r="A26" s="19" t="s">
        <v>60</v>
      </c>
      <c r="B26" s="247">
        <f>'Arbeitszeit, Löhne'!B34</f>
        <v>0</v>
      </c>
      <c r="C26" s="247">
        <f>'Arbeitszeit, Löhne'!C34</f>
        <v>47452</v>
      </c>
      <c r="D26" s="247">
        <f>'Arbeitszeit, Löhne'!D34</f>
        <v>50593</v>
      </c>
    </row>
    <row r="27" spans="1:4" ht="12">
      <c r="A27" s="19" t="s">
        <v>139</v>
      </c>
      <c r="B27" s="247">
        <f>'Arbeitszeit, Löhne'!B44</f>
        <v>19377.03045685279</v>
      </c>
      <c r="C27" s="247">
        <f>'Arbeitszeit, Löhne'!C44</f>
        <v>11903.10913705584</v>
      </c>
      <c r="D27" s="247">
        <f>'Arbeitszeit, Löhne'!D44</f>
        <v>30219.479695431473</v>
      </c>
    </row>
    <row r="28" spans="1:4" ht="12">
      <c r="A28" s="19" t="s">
        <v>61</v>
      </c>
      <c r="B28" s="247">
        <f>'Arbeitszeit, Löhne'!B54</f>
        <v>0</v>
      </c>
      <c r="C28" s="247">
        <f>'Arbeitszeit, Löhne'!C54</f>
        <v>0</v>
      </c>
      <c r="D28" s="247">
        <f>'Arbeitszeit, Löhne'!D54</f>
        <v>9903.045685279192</v>
      </c>
    </row>
    <row r="29" spans="1:5" s="12" customFormat="1" ht="12">
      <c r="A29" s="38" t="s">
        <v>7</v>
      </c>
      <c r="B29" s="258">
        <f>SUM(B23:B28)</f>
        <v>89946.56167512691</v>
      </c>
      <c r="C29" s="258">
        <f>SUM(C23:C28)</f>
        <v>136053.64035532996</v>
      </c>
      <c r="D29" s="258">
        <f>SUM(D23:D28)</f>
        <v>173621.68883248733</v>
      </c>
      <c r="E29" s="21"/>
    </row>
    <row r="30" spans="1:5" s="12" customFormat="1" ht="12">
      <c r="A30" s="17" t="s">
        <v>128</v>
      </c>
      <c r="B30" s="73">
        <f>B29*Basiswerte!B30</f>
        <v>16055.461259010153</v>
      </c>
      <c r="C30" s="73">
        <f>C29*Basiswerte!C30</f>
        <v>24285.574803426396</v>
      </c>
      <c r="D30" s="73">
        <f>D29*Basiswerte!D30</f>
        <v>30991.471456598985</v>
      </c>
      <c r="E30" s="21"/>
    </row>
    <row r="31" spans="1:5" s="12" customFormat="1" ht="12">
      <c r="A31" s="17" t="s">
        <v>126</v>
      </c>
      <c r="B31" s="73">
        <f>Basiswerte!B22*B29</f>
        <v>1917.6424316524517</v>
      </c>
      <c r="C31" s="73">
        <f>Basiswerte!C22*C29</f>
        <v>2900.635987270994</v>
      </c>
      <c r="D31" s="73">
        <f>Basiswerte!D22*D29</f>
        <v>3701.579152773841</v>
      </c>
      <c r="E31" s="21"/>
    </row>
    <row r="32" spans="1:5" s="12" customFormat="1" ht="12">
      <c r="A32" s="17" t="s">
        <v>148</v>
      </c>
      <c r="B32" s="73">
        <f>Basiswerte!B23*B29</f>
        <v>2698.3968502538073</v>
      </c>
      <c r="C32" s="73">
        <f>Basiswerte!C23*C29</f>
        <v>4081.6092106598985</v>
      </c>
      <c r="D32" s="73">
        <f>Basiswerte!D23*D29</f>
        <v>5208.65066497462</v>
      </c>
      <c r="E32" s="21"/>
    </row>
    <row r="33" spans="1:5" s="8" customFormat="1" ht="18" customHeight="1">
      <c r="A33" s="266" t="s">
        <v>194</v>
      </c>
      <c r="B33" s="267">
        <f>SUM(B29:B32)</f>
        <v>110618.06221604331</v>
      </c>
      <c r="C33" s="267">
        <f>SUM(C29:C32)</f>
        <v>167321.46035668725</v>
      </c>
      <c r="D33" s="267">
        <f>SUM(D29:D32)</f>
        <v>213523.39010683476</v>
      </c>
      <c r="E33" s="263"/>
    </row>
    <row r="34" ht="12">
      <c r="D34" s="2"/>
    </row>
    <row r="35" spans="1:5" s="12" customFormat="1" ht="12">
      <c r="A35" s="40" t="s">
        <v>4</v>
      </c>
      <c r="B35" s="39"/>
      <c r="C35" s="39"/>
      <c r="D35" s="39"/>
      <c r="E35" s="21"/>
    </row>
    <row r="36" spans="1:5" s="12" customFormat="1" ht="12">
      <c r="A36" s="29" t="s">
        <v>190</v>
      </c>
      <c r="B36" s="67">
        <f>Basiswerte!B42*B10</f>
        <v>60</v>
      </c>
      <c r="C36" s="67">
        <f>Basiswerte!C42*C10</f>
        <v>120</v>
      </c>
      <c r="D36" s="67">
        <f>Basiswerte!D42*D10</f>
        <v>160</v>
      </c>
      <c r="E36" s="21"/>
    </row>
    <row r="37" spans="1:4" s="21" customFormat="1" ht="12">
      <c r="A37" s="29" t="s">
        <v>115</v>
      </c>
      <c r="B37" s="73">
        <f>Basiswerte!B41</f>
        <v>240</v>
      </c>
      <c r="C37" s="73">
        <f>Basiswerte!C41</f>
        <v>240</v>
      </c>
      <c r="D37" s="73">
        <f>Basiswerte!D41</f>
        <v>240</v>
      </c>
    </row>
    <row r="38" spans="1:5" s="8" customFormat="1" ht="18" customHeight="1">
      <c r="A38" s="266" t="s">
        <v>116</v>
      </c>
      <c r="B38" s="267">
        <f>B36*B37</f>
        <v>14400</v>
      </c>
      <c r="C38" s="267">
        <f>C36*C37</f>
        <v>28800</v>
      </c>
      <c r="D38" s="267">
        <f>D36*D37</f>
        <v>38400</v>
      </c>
      <c r="E38" s="263"/>
    </row>
    <row r="39" spans="1:4" s="21" customFormat="1" ht="12">
      <c r="A39" s="49"/>
      <c r="B39" s="23"/>
      <c r="C39" s="23"/>
      <c r="D39" s="23"/>
    </row>
    <row r="40" spans="1:5" s="12" customFormat="1" ht="12">
      <c r="A40" s="22" t="s">
        <v>104</v>
      </c>
      <c r="B40" s="39"/>
      <c r="C40" s="39"/>
      <c r="D40" s="39"/>
      <c r="E40" s="21"/>
    </row>
    <row r="41" spans="1:5" s="12" customFormat="1" ht="12" customHeight="1">
      <c r="A41" s="17" t="s">
        <v>80</v>
      </c>
      <c r="B41" s="73">
        <f>B11*B9*Basiswerte!B47</f>
        <v>3463.2000000000003</v>
      </c>
      <c r="C41" s="73">
        <f>C11*C9*Basiswerte!C47</f>
        <v>6442.8</v>
      </c>
      <c r="D41" s="73">
        <f>D11*D9*Basiswerte!D47</f>
        <v>9414.599999999999</v>
      </c>
      <c r="E41" s="23"/>
    </row>
    <row r="42" spans="1:5" s="12" customFormat="1" ht="12" customHeight="1">
      <c r="A42" s="17" t="s">
        <v>155</v>
      </c>
      <c r="B42" s="73">
        <f>(B33+B38)*Basiswerte!B46</f>
        <v>6250.903110802166</v>
      </c>
      <c r="C42" s="73">
        <f>(C33+C38)*Basiswerte!C46</f>
        <v>9806.073017834364</v>
      </c>
      <c r="D42" s="73">
        <f>(D33+D38)*Basiswerte!D46</f>
        <v>12596.169505341739</v>
      </c>
      <c r="E42" s="23"/>
    </row>
    <row r="43" spans="1:5" s="8" customFormat="1" ht="18" customHeight="1">
      <c r="A43" s="266" t="s">
        <v>187</v>
      </c>
      <c r="B43" s="267">
        <f>SUM(B41:B42)</f>
        <v>9714.103110802167</v>
      </c>
      <c r="C43" s="267">
        <f>SUM(C41:C42)</f>
        <v>16248.873017834365</v>
      </c>
      <c r="D43" s="267">
        <f>SUM(D41:D42)</f>
        <v>22010.769505341737</v>
      </c>
      <c r="E43" s="263"/>
    </row>
    <row r="44" s="21" customFormat="1" ht="12">
      <c r="A44" s="49"/>
    </row>
    <row r="45" spans="1:5" s="8" customFormat="1" ht="18" customHeight="1">
      <c r="A45" s="265" t="s">
        <v>105</v>
      </c>
      <c r="B45" s="262">
        <f>B33+B38+B43</f>
        <v>134732.16532684548</v>
      </c>
      <c r="C45" s="262">
        <f>C33+C38+C43</f>
        <v>212370.3333745216</v>
      </c>
      <c r="D45" s="262">
        <f>D33+D38+D43</f>
        <v>273934.1596121765</v>
      </c>
      <c r="E45" s="263"/>
    </row>
    <row r="46" spans="1:4" ht="12">
      <c r="A46" s="10"/>
      <c r="B46" s="4"/>
      <c r="C46" s="4"/>
      <c r="D46" s="4"/>
    </row>
    <row r="47" spans="1:5" s="12" customFormat="1" ht="12">
      <c r="A47" s="22" t="s">
        <v>144</v>
      </c>
      <c r="B47" s="39"/>
      <c r="C47" s="39"/>
      <c r="D47" s="39"/>
      <c r="E47" s="21"/>
    </row>
    <row r="48" spans="1:5" s="12" customFormat="1" ht="12">
      <c r="A48" s="17" t="s">
        <v>92</v>
      </c>
      <c r="B48" s="247">
        <f>'Arbeitszeit, Löhne'!B63</f>
        <v>20883.248730964464</v>
      </c>
      <c r="C48" s="247">
        <f>'Arbeitszeit, Löhne'!C63</f>
        <v>27614.213197969544</v>
      </c>
      <c r="D48" s="247">
        <f>'Arbeitszeit, Löhne'!D63</f>
        <v>30979.695431472082</v>
      </c>
      <c r="E48" s="21"/>
    </row>
    <row r="49" spans="1:5" s="12" customFormat="1" ht="12">
      <c r="A49" s="17" t="s">
        <v>128</v>
      </c>
      <c r="B49" s="73">
        <f>B48*Basiswerte!B30</f>
        <v>3727.6598984771567</v>
      </c>
      <c r="C49" s="73">
        <f>C48*Basiswerte!C30</f>
        <v>4929.137055837564</v>
      </c>
      <c r="D49" s="73">
        <f>D48*Basiswerte!D30</f>
        <v>5529.875634517766</v>
      </c>
      <c r="E49" s="21"/>
    </row>
    <row r="50" spans="1:5" s="12" customFormat="1" ht="12">
      <c r="A50" s="17" t="s">
        <v>126</v>
      </c>
      <c r="B50" s="73">
        <f>Basiswerte!B22*B48</f>
        <v>445.2266226906129</v>
      </c>
      <c r="C50" s="73">
        <f>Basiswerte!C22*C48</f>
        <v>588.7294184338684</v>
      </c>
      <c r="D50" s="73">
        <f>Basiswerte!D22*D48</f>
        <v>660.4808163054961</v>
      </c>
      <c r="E50" s="21"/>
    </row>
    <row r="51" spans="1:5" s="12" customFormat="1" ht="12">
      <c r="A51" s="38" t="s">
        <v>93</v>
      </c>
      <c r="B51" s="258">
        <f>SUM(B48:B50)</f>
        <v>25056.135252132233</v>
      </c>
      <c r="C51" s="258">
        <f>SUM(C48:C50)</f>
        <v>33132.07967224098</v>
      </c>
      <c r="D51" s="258">
        <f>SUM(D48:D50)</f>
        <v>37170.051882295345</v>
      </c>
      <c r="E51" s="21"/>
    </row>
    <row r="52" spans="1:5" s="12" customFormat="1" ht="12">
      <c r="A52" s="17" t="s">
        <v>94</v>
      </c>
      <c r="B52" s="73">
        <f>B15*Basiswerte!B35</f>
        <v>994.5</v>
      </c>
      <c r="C52" s="73">
        <f>C15*Basiswerte!C35</f>
        <v>1813.5</v>
      </c>
      <c r="D52" s="73">
        <f>D15*Basiswerte!D35</f>
        <v>2983.5</v>
      </c>
      <c r="E52" s="21"/>
    </row>
    <row r="53" spans="1:5" s="12" customFormat="1" ht="12">
      <c r="A53" s="17" t="s">
        <v>95</v>
      </c>
      <c r="B53" s="73">
        <f>B11*Basiswerte!B7*Basiswerte!B34</f>
        <v>173.16000000000003</v>
      </c>
      <c r="C53" s="73">
        <f>C11*Basiswerte!C7*Basiswerte!C34</f>
        <v>322.14</v>
      </c>
      <c r="D53" s="73">
        <f>D11*Basiswerte!D7*Basiswerte!D34</f>
        <v>470.72999999999996</v>
      </c>
      <c r="E53" s="21"/>
    </row>
    <row r="54" spans="1:5" s="12" customFormat="1" ht="12">
      <c r="A54" s="17" t="s">
        <v>96</v>
      </c>
      <c r="B54" s="259">
        <f>B13*Basiswerte!B33</f>
        <v>5967</v>
      </c>
      <c r="C54" s="259">
        <f>C13*Basiswerte!C33</f>
        <v>10647</v>
      </c>
      <c r="D54" s="259">
        <f>D13*Basiswerte!D33</f>
        <v>15444</v>
      </c>
      <c r="E54" s="21"/>
    </row>
    <row r="55" spans="1:5" s="8" customFormat="1" ht="18" customHeight="1">
      <c r="A55" s="266" t="s">
        <v>120</v>
      </c>
      <c r="B55" s="267">
        <f>SUM(B51:B54)</f>
        <v>32190.795252132233</v>
      </c>
      <c r="C55" s="267">
        <f>SUM(C51:C54)</f>
        <v>45914.71967224098</v>
      </c>
      <c r="D55" s="267">
        <f>SUM(D51:D54)</f>
        <v>56068.28188229535</v>
      </c>
      <c r="E55" s="263"/>
    </row>
    <row r="56" spans="1:5" s="12" customFormat="1" ht="12">
      <c r="A56" s="49"/>
      <c r="B56" s="23"/>
      <c r="C56" s="23"/>
      <c r="D56" s="23"/>
      <c r="E56" s="21"/>
    </row>
    <row r="57" spans="1:5" s="8" customFormat="1" ht="18" customHeight="1">
      <c r="A57" s="265" t="s">
        <v>55</v>
      </c>
      <c r="B57" s="262">
        <f>B45+B55</f>
        <v>166922.9605789777</v>
      </c>
      <c r="C57" s="262">
        <f>C45+C55</f>
        <v>258285.0530467626</v>
      </c>
      <c r="D57" s="262">
        <f>D45+D55</f>
        <v>330002.4414944718</v>
      </c>
      <c r="E57" s="263"/>
    </row>
    <row r="58" spans="1:5" s="12" customFormat="1" ht="12">
      <c r="A58" s="10"/>
      <c r="B58" s="4"/>
      <c r="C58" s="4"/>
      <c r="D58" s="4"/>
      <c r="E58" s="21"/>
    </row>
    <row r="59" spans="2:4" ht="12">
      <c r="B59" s="4"/>
      <c r="C59" s="4"/>
      <c r="D59" s="4"/>
    </row>
    <row r="60" spans="1:5" s="272" customFormat="1" ht="12">
      <c r="A60" s="276" t="s">
        <v>43</v>
      </c>
      <c r="B60" s="275" t="str">
        <f>B8</f>
        <v>Jahr 1</v>
      </c>
      <c r="C60" s="275" t="str">
        <f>C8</f>
        <v>Jahr 2</v>
      </c>
      <c r="D60" s="275" t="str">
        <f>D8</f>
        <v>Jahr 3</v>
      </c>
      <c r="E60" s="271"/>
    </row>
    <row r="61" spans="1:4" ht="12">
      <c r="A61" s="18" t="s">
        <v>131</v>
      </c>
      <c r="B61" s="247">
        <f>Beiträge_Bund!B24</f>
        <v>31044</v>
      </c>
      <c r="C61" s="247">
        <f>Beiträge_Bund!C24</f>
        <v>42952</v>
      </c>
      <c r="D61" s="247">
        <f>Beiträge_Bund!D24</f>
        <v>31381.999999999996</v>
      </c>
    </row>
    <row r="62" spans="1:4" ht="12">
      <c r="A62" s="18" t="s">
        <v>125</v>
      </c>
      <c r="B62" s="247">
        <f>B16*Basiswerte!B37</f>
        <v>27153.75</v>
      </c>
      <c r="C62" s="247">
        <f>C16*Basiswerte!C37</f>
        <v>51665.250000000015</v>
      </c>
      <c r="D62" s="247">
        <f>D16*Basiswerte!D37</f>
        <v>77083.5</v>
      </c>
    </row>
    <row r="63" spans="1:4" ht="12">
      <c r="A63" s="18" t="s">
        <v>156</v>
      </c>
      <c r="B63" s="247">
        <f>B13*Basiswerte!B38</f>
        <v>19890</v>
      </c>
      <c r="C63" s="247">
        <f>C13*Basiswerte!C38</f>
        <v>35490</v>
      </c>
      <c r="D63" s="247">
        <f>D13*Basiswerte!D38</f>
        <v>51480</v>
      </c>
    </row>
    <row r="64" spans="1:4" ht="12">
      <c r="A64" s="24" t="s">
        <v>49</v>
      </c>
      <c r="B64" s="236">
        <f>B15*Basiswerte!B39</f>
        <v>994.5</v>
      </c>
      <c r="C64" s="236">
        <f>C15*Basiswerte!C39</f>
        <v>1813.5</v>
      </c>
      <c r="D64" s="236">
        <f>D15*Basiswerte!D39</f>
        <v>2983.5</v>
      </c>
    </row>
    <row r="65" spans="1:5" s="8" customFormat="1" ht="18" customHeight="1">
      <c r="A65" s="264" t="s">
        <v>44</v>
      </c>
      <c r="B65" s="262">
        <f>SUM(B61:B63)</f>
        <v>78087.75</v>
      </c>
      <c r="C65" s="262">
        <f>SUM(C61:C63)</f>
        <v>130107.25000000001</v>
      </c>
      <c r="D65" s="262">
        <f>SUM(D61:D63)</f>
        <v>159945.5</v>
      </c>
      <c r="E65" s="263"/>
    </row>
    <row r="66" spans="1:4" ht="12">
      <c r="A66" s="10"/>
      <c r="B66" s="13"/>
      <c r="C66" s="13"/>
      <c r="D66" s="13"/>
    </row>
    <row r="67" spans="1:4" ht="12">
      <c r="A67" s="2"/>
      <c r="B67" s="13"/>
      <c r="C67" s="13"/>
      <c r="D67" s="13"/>
    </row>
    <row r="68" spans="1:5" s="8" customFormat="1" ht="18" customHeight="1">
      <c r="A68" s="261" t="s">
        <v>71</v>
      </c>
      <c r="B68" s="262">
        <f>B57-B65</f>
        <v>88835.21057897771</v>
      </c>
      <c r="C68" s="262">
        <f>C57-C65</f>
        <v>128177.80304676258</v>
      </c>
      <c r="D68" s="262">
        <f>D57-D65</f>
        <v>170056.9414944718</v>
      </c>
      <c r="E68" s="263"/>
    </row>
    <row r="69" spans="1:5" s="270" customFormat="1" ht="12">
      <c r="A69" s="277"/>
      <c r="B69" s="278"/>
      <c r="C69" s="278"/>
      <c r="D69" s="278"/>
      <c r="E69" s="268"/>
    </row>
    <row r="70" spans="1:4" ht="12">
      <c r="A70" s="10"/>
      <c r="B70" s="112"/>
      <c r="C70" s="112"/>
      <c r="D70" s="112"/>
    </row>
    <row r="71" spans="1:4" ht="12">
      <c r="A71" s="25" t="s">
        <v>68</v>
      </c>
      <c r="B71" s="4"/>
      <c r="C71" s="4"/>
      <c r="D71" s="4"/>
    </row>
    <row r="72" spans="1:4" ht="12" customHeight="1">
      <c r="A72" s="44" t="s">
        <v>82</v>
      </c>
      <c r="B72" s="260">
        <f>B45/B16</f>
        <v>14.885476075331637</v>
      </c>
      <c r="C72" s="260">
        <f>C45/C16</f>
        <v>12.331518769841715</v>
      </c>
      <c r="D72" s="260">
        <f>D45/D16</f>
        <v>10.661198295828932</v>
      </c>
    </row>
    <row r="73" spans="1:4" ht="12">
      <c r="A73" s="310" t="s">
        <v>27</v>
      </c>
      <c r="B73" s="260">
        <f>B51/B13+Basiswerte!B33</f>
        <v>15.597353067939785</v>
      </c>
      <c r="C73" s="260">
        <f>C51/C13+Basiswerte!C33</f>
        <v>12.335609938642147</v>
      </c>
      <c r="D73" s="260">
        <f>D51/D13+Basiswerte!D33</f>
        <v>10.220289798425668</v>
      </c>
    </row>
    <row r="75" ht="12">
      <c r="A75" s="12" t="s">
        <v>28</v>
      </c>
    </row>
  </sheetData>
  <printOptions/>
  <pageMargins left="0.984251968503937" right="0.5905511811023623" top="0.7874015748031497" bottom="0.5905511811023623" header="0.5118110236220472" footer="0.5118110236220472"/>
  <pageSetup fitToHeight="1" fitToWidth="1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Verein Tagesschulen Schweiz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Mauchle</dc:creator>
  <cp:keywords/>
  <dc:description/>
  <cp:lastModifiedBy>Markus Mauchle</cp:lastModifiedBy>
  <cp:lastPrinted>2009-02-19T16:06:55Z</cp:lastPrinted>
  <dcterms:created xsi:type="dcterms:W3CDTF">2001-05-21T14:39:21Z</dcterms:created>
  <dcterms:modified xsi:type="dcterms:W3CDTF">2009-04-27T16:24:00Z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