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180" yWindow="180" windowWidth="21700" windowHeight="12260" tabRatio="855" activeTab="8"/>
  </bookViews>
  <sheets>
    <sheet name="Basiswerte" sheetId="1" r:id="rId1"/>
    <sheet name="Nachfrage2" sheetId="2" state="hidden" r:id="rId2"/>
    <sheet name="Nachfrage" sheetId="3" r:id="rId3"/>
    <sheet name="Belegungsplan_Jahr1" sheetId="4" r:id="rId4"/>
    <sheet name="Belegungsplan_Jahr2" sheetId="5" r:id="rId5"/>
    <sheet name="Belegungsplan_Jahr3" sheetId="6" r:id="rId6"/>
    <sheet name="Arbeitszeit, Löhne" sheetId="7" r:id="rId7"/>
    <sheet name="Beiträge_Bund" sheetId="8" r:id="rId8"/>
    <sheet name="Budget" sheetId="9" r:id="rId9"/>
  </sheets>
  <definedNames>
    <definedName name="_xlnm.Print_Area" localSheetId="3">'Belegungsplan_Jahr1'!$A$1:$BJ$32</definedName>
    <definedName name="_xlnm.Print_Area" localSheetId="2">'Nachfrage'!$A$1:$BF$30</definedName>
    <definedName name="_xlnm.Print_Area" localSheetId="1">'Nachfrage2'!$A$1:$BE$37</definedName>
  </definedNames>
  <calcPr fullCalcOnLoad="1"/>
</workbook>
</file>

<file path=xl/sharedStrings.xml><?xml version="1.0" encoding="utf-8"?>
<sst xmlns="http://schemas.openxmlformats.org/spreadsheetml/2006/main" count="357" uniqueCount="185">
  <si>
    <t>Jahreslohn Schulleitung</t>
  </si>
  <si>
    <t>Jahreslohn Tagesschulleitung</t>
  </si>
  <si>
    <t>Jahreslohn ausgebildete Betreuungsperson mit päd. oder soz-päd. Berufserfahrung</t>
  </si>
  <si>
    <t>Jahreslohn Mitarbeiter/-in ohne Berufsausbildung, mit Erfahrung</t>
  </si>
  <si>
    <t>Jahr 4</t>
  </si>
  <si>
    <t>Zeit für Teamsitzungen pro Mitarbeiterin/Mitarbeiter in Stunden pro Jahr</t>
  </si>
  <si>
    <t>Personalkosten Betreuung</t>
  </si>
  <si>
    <t>Anzahl Frühstücke</t>
  </si>
  <si>
    <t>Betreuungsstunden Personal</t>
  </si>
  <si>
    <t>∑/ø</t>
  </si>
  <si>
    <t>Beginn Modul</t>
  </si>
  <si>
    <t>Ende Modul</t>
  </si>
  <si>
    <t>Dauer</t>
  </si>
  <si>
    <t>Dienstag</t>
  </si>
  <si>
    <t>Mittwoch</t>
  </si>
  <si>
    <t>Donnerstag</t>
  </si>
  <si>
    <t>Pensum der Betreuungspersonen</t>
  </si>
  <si>
    <t>Öffnungstage (t)</t>
  </si>
  <si>
    <t>Total Bruttolöhne</t>
  </si>
  <si>
    <t>Pensum</t>
  </si>
  <si>
    <t>Basiswerte für die Budgetierung</t>
  </si>
  <si>
    <t>Beiträge im ersten Jahr</t>
  </si>
  <si>
    <t>Anzahl Frühstücke pro Woche</t>
  </si>
  <si>
    <t>Frühstücke im Jahr</t>
  </si>
  <si>
    <t>Zwischenverpflegung</t>
  </si>
  <si>
    <t>Raumkosten</t>
  </si>
  <si>
    <t>Anzahl Plätze (p)</t>
  </si>
  <si>
    <t>Kosten</t>
  </si>
  <si>
    <t>Wochenübersicht</t>
  </si>
  <si>
    <t>∑ / ø / Max</t>
  </si>
  <si>
    <t>Total</t>
  </si>
  <si>
    <t>Verpflegung (Catering am Mittag)</t>
  </si>
  <si>
    <t>Variante Catering</t>
  </si>
  <si>
    <t>Betreuungspensum der Leitungsperson</t>
  </si>
  <si>
    <t>Arbeitszeit in der Betreuung pro Jahr</t>
  </si>
  <si>
    <t>Öffnungstage pro Woche</t>
  </si>
  <si>
    <t>Anzahl Mittagessen pro Woche</t>
  </si>
  <si>
    <t>Leistungsdaten</t>
  </si>
  <si>
    <t>Montag</t>
  </si>
  <si>
    <t>Wochen geöffnet</t>
  </si>
  <si>
    <t>Anzahl Tage mit ausserordentlichen Schulausfällen pro Jahr</t>
  </si>
  <si>
    <t>Räumgrösse (Quadratmeter)</t>
  </si>
  <si>
    <t>Jahresarbeitszeit total</t>
  </si>
  <si>
    <t>Anzahl Kinder</t>
  </si>
  <si>
    <t>Fläche pro Betreuungsplatz (Quadratmeter)</t>
  </si>
  <si>
    <t>Personalkosten Total</t>
  </si>
  <si>
    <t>Mittagessen</t>
  </si>
  <si>
    <t>Jahr 1</t>
  </si>
  <si>
    <t>Deckungsbeitrag der Gemeinde</t>
  </si>
  <si>
    <t>Total Kosten</t>
  </si>
  <si>
    <t>Ergebnisse der Umfrage</t>
  </si>
  <si>
    <t>Öffnungstage</t>
  </si>
  <si>
    <t>Angebotene Betreuungstage</t>
  </si>
  <si>
    <t>Geleistete Betreuungstage</t>
  </si>
  <si>
    <t>Administration</t>
  </si>
  <si>
    <t>Betreuungsperson 3</t>
  </si>
  <si>
    <t>Betreuungsperson 4</t>
  </si>
  <si>
    <t>Zeit für Elterngespräche (Stunden pro Kind und Jahr)</t>
  </si>
  <si>
    <t>Prognose der Nachfrage</t>
  </si>
  <si>
    <t>Löhne (AHV-Lohn pro Jahr für 100 % Pensum)</t>
  </si>
  <si>
    <t>Köchin, Koch</t>
  </si>
  <si>
    <t>Freitag</t>
  </si>
  <si>
    <t>Unerwartetes</t>
  </si>
  <si>
    <t>Kennziffern</t>
  </si>
  <si>
    <t>Jahresarbeitszeit</t>
  </si>
  <si>
    <t>Elternbeiträge</t>
  </si>
  <si>
    <t>Erwartete Elternbeiträge pro Betreuungsstunde</t>
  </si>
  <si>
    <t>Leitungsperson</t>
  </si>
  <si>
    <t>Leitung Betreuung</t>
  </si>
  <si>
    <t>Erwartete Elternbeiträge für die Betreuung</t>
  </si>
  <si>
    <t>Elternbeitrag für Mitagessen</t>
  </si>
  <si>
    <t>Betreuungspersonen</t>
  </si>
  <si>
    <t>Übertrag von der Bedarfsabklärung</t>
  </si>
  <si>
    <t>Resultate der Abklärung</t>
  </si>
  <si>
    <t>Anzahl Kinder gem. Umfrage</t>
  </si>
  <si>
    <t>Schätzung des Bedarfs</t>
  </si>
  <si>
    <t>Bruttolohn Betreuungsperson 1</t>
  </si>
  <si>
    <t>Bruttolohn Betreuungsperson 3</t>
  </si>
  <si>
    <t>Jahr 6</t>
  </si>
  <si>
    <t>Ertrag</t>
  </si>
  <si>
    <t>Total Ertrag</t>
  </si>
  <si>
    <t>Kosten für Zwischenverpflegung pro Kind und Tag</t>
  </si>
  <si>
    <t>Pensen/Arbeitszeit</t>
  </si>
  <si>
    <t>Wochenstunden Schulleitung</t>
  </si>
  <si>
    <t>Q A</t>
  </si>
  <si>
    <t>Q N *)</t>
  </si>
  <si>
    <t>Betreuungsperson 5</t>
  </si>
  <si>
    <t>Anzahl KInder pro Betreuungsperson</t>
  </si>
  <si>
    <t>Raumkosten pro Quadratmeter</t>
  </si>
  <si>
    <t>Raum total</t>
  </si>
  <si>
    <t>Absenzen</t>
  </si>
  <si>
    <t>Lohn Tagesschulleitung</t>
  </si>
  <si>
    <t>Lohn Schulleitung</t>
  </si>
  <si>
    <t>Verpflegung total</t>
  </si>
  <si>
    <t>Sozialversicherungen</t>
  </si>
  <si>
    <t>Essen</t>
  </si>
  <si>
    <t>Raum</t>
  </si>
  <si>
    <t>Wochenarbeitszeit für Betreuung (Stunden)</t>
  </si>
  <si>
    <t>Belegung nach BSV</t>
  </si>
  <si>
    <t>Bundessubventionen</t>
  </si>
  <si>
    <t>Material/Programme</t>
  </si>
  <si>
    <t>Beiträge für belegte Plätze</t>
  </si>
  <si>
    <t>Kosten pro Betreuungsstunde ohne Essenskosten</t>
  </si>
  <si>
    <t>Wochenstunden Tagesschulleitung</t>
  </si>
  <si>
    <t xml:space="preserve">   entspricht einem Pensum von</t>
  </si>
  <si>
    <t>Bruttolohn Betreuungsperson 2</t>
  </si>
  <si>
    <t>Teamsitzungen</t>
  </si>
  <si>
    <t>Betreuungsperson 1</t>
  </si>
  <si>
    <t>Betreuungsperson 2</t>
  </si>
  <si>
    <t>A: Ausgebildet</t>
  </si>
  <si>
    <t>Anzahl Mittagessen</t>
  </si>
  <si>
    <t>Bruttolohn Tagesschulleitung für Betreuungsarbeit</t>
  </si>
  <si>
    <t>Bruttolohn bei 100 % (ausgebildet)</t>
  </si>
  <si>
    <t>Kosten für ein Mittagessen</t>
  </si>
  <si>
    <t>Summe</t>
  </si>
  <si>
    <t>Summe der Prozentanteile</t>
  </si>
  <si>
    <t>Jahreslohn bei 100 %</t>
  </si>
  <si>
    <t>Bruttolohn Schulleitung</t>
  </si>
  <si>
    <t>Bruttolohn Tagesschulleitung</t>
  </si>
  <si>
    <t>Liegt die Zusage des BSV für die Anstossfinanzierung vor bzw.</t>
  </si>
  <si>
    <t>Geleistete Betreuungsstunden</t>
  </si>
  <si>
    <t>Realisierte Nachfrage in Prozent</t>
  </si>
  <si>
    <t>Ist sie in Aussicht gestellt? (vgl. Manual)</t>
  </si>
  <si>
    <t>Belegungsplan Jahr 1</t>
  </si>
  <si>
    <t>Anteil Betreuung durch pädagogisches Personal</t>
  </si>
  <si>
    <t>Jahr 1 Prozent</t>
  </si>
  <si>
    <t>Jahr 1 absolut</t>
  </si>
  <si>
    <t>Fachstelle Bildung+Betreuung</t>
  </si>
  <si>
    <t>Jahr 2 absolut</t>
  </si>
  <si>
    <t>Jahr 3 absolut</t>
  </si>
  <si>
    <t>Jahr 2 Prozent</t>
  </si>
  <si>
    <t>Jahr 3 Prozent</t>
  </si>
  <si>
    <t>Jahr 3</t>
  </si>
  <si>
    <t>Angebot</t>
  </si>
  <si>
    <t>Anzahl Wochen pro Jahr</t>
  </si>
  <si>
    <t>Prognostizierte Nachfrage</t>
  </si>
  <si>
    <t>Diverses in Prozent</t>
  </si>
  <si>
    <t>Elternbeiträge für Mittagessen</t>
  </si>
  <si>
    <t>Kosten für Frühstück</t>
  </si>
  <si>
    <t>Nachfrage</t>
  </si>
  <si>
    <t>Belegungsplan Jahr 2</t>
  </si>
  <si>
    <t>Belegungsplan Jahr 3</t>
  </si>
  <si>
    <t>Arbeitszeit und Löhne</t>
  </si>
  <si>
    <t>Anzahl Kinder, die das Angebot nutzen</t>
  </si>
  <si>
    <t>Beiträge für angebotene Plätze</t>
  </si>
  <si>
    <t>Anstossfinanzierung des Bundes</t>
  </si>
  <si>
    <t>Betreuungsstunden pro Jahr</t>
  </si>
  <si>
    <t>Schulleitung</t>
  </si>
  <si>
    <t>Durchschnittliche Belegung nach Berechnung BSV</t>
  </si>
  <si>
    <t>Elternbeiträge für Frühstück</t>
  </si>
  <si>
    <t>Jahr 5</t>
  </si>
  <si>
    <t>N: keine spezifische Ausbildung</t>
  </si>
  <si>
    <t>A</t>
  </si>
  <si>
    <t>N</t>
  </si>
  <si>
    <t>Jahresstunden für Elterngespräche</t>
  </si>
  <si>
    <t>Zusätzliche Betreuungszeit, wenn ordentlicher Schulunterricht ausfällt (in % der Arbeitszeit)</t>
  </si>
  <si>
    <t>Durchschnittlicher Arbeitgeberbeitrag für Sozialversicherungen</t>
  </si>
  <si>
    <r>
      <t>Diverse Kosten</t>
    </r>
    <r>
      <rPr>
        <sz val="10"/>
        <rFont val="Arial"/>
        <family val="2"/>
      </rPr>
      <t xml:space="preserve"> (Anteil an den Gesamtkosten)</t>
    </r>
  </si>
  <si>
    <t>Material für Animation/Projekte (pro Kind und Tag)</t>
  </si>
  <si>
    <t>Anzahl Kinder pro Betreuungsperson</t>
  </si>
  <si>
    <t>Bruttolohn bei 100 % (nicht ausgebildet)</t>
  </si>
  <si>
    <t>Diverse Kosten</t>
  </si>
  <si>
    <t>Diverse Kosten total</t>
  </si>
  <si>
    <t>Kosten ohne Verpflegung</t>
  </si>
  <si>
    <t>Zusatzkosten für Weiterbildung und Qualitäts-sicherung (in % der Lohnsumme)</t>
  </si>
  <si>
    <t>Arbeitsausfälle wegen Absenzen (5 Tage pro Mitarbeiter/-in, in % der Lohnsumme)</t>
  </si>
  <si>
    <t>Erwartete Belegung (b)</t>
  </si>
  <si>
    <t>Angebotene Betreuungstage (p x t)</t>
  </si>
  <si>
    <t>Geleistete Betreuungstage (b x t)</t>
  </si>
  <si>
    <t>Beiträge des Bundes im Rahmen der Anstossfinanzierung</t>
  </si>
  <si>
    <t>Q.*)</t>
  </si>
  <si>
    <t>*) Qualifikation</t>
  </si>
  <si>
    <t>Sollarbeitszeit</t>
  </si>
  <si>
    <t>Zusätzliche Betreuungsstunden an schulfreien Tagen</t>
  </si>
  <si>
    <t>WB/Qualitätssicherung</t>
  </si>
  <si>
    <t>Ja = 1, Nein = 0</t>
  </si>
  <si>
    <t>Anzahl Essen im Jahr</t>
  </si>
  <si>
    <t>Frühstück</t>
  </si>
  <si>
    <t>Schätzung der Nachfrage</t>
  </si>
  <si>
    <t>Budgettool zur Berechnung der Betriebskosten einer modularen Tagesstruktur</t>
  </si>
  <si>
    <t>Lohn Betreuungsarbeit Tagesschulleitung</t>
  </si>
  <si>
    <t>Anzahl Plätze</t>
  </si>
  <si>
    <t>Jahr 2</t>
  </si>
  <si>
    <t>Leitungsperson in der Betreuung</t>
  </si>
  <si>
    <t>Elternbeitrag für Frühstück</t>
  </si>
</sst>
</file>

<file path=xl/styles.xml><?xml version="1.0" encoding="utf-8"?>
<styleSheet xmlns="http://schemas.openxmlformats.org/spreadsheetml/2006/main">
  <numFmts count="23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-&quot;Fr &quot;* #,##0_-;\-&quot;Fr &quot;* #,##0_-;_-&quot;Fr &quot;* &quot;-&quot;_-;_-@_-"/>
    <numFmt numFmtId="173" formatCode="_-&quot;Fr &quot;* #,##0.00_-;\-&quot;Fr &quot;* #,##0.00_-;_-&quot;Fr &quot;* &quot;-&quot;??_-;_-@_-"/>
    <numFmt numFmtId="174" formatCode="0.0"/>
    <numFmt numFmtId="175" formatCode="#,##0.0"/>
    <numFmt numFmtId="176" formatCode="0.0%"/>
    <numFmt numFmtId="177" formatCode="#,##0_ ;\-#,##0\ "/>
    <numFmt numFmtId="178" formatCode="0.000%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sz val="12"/>
      <name val="Wingdings"/>
      <family val="0"/>
    </font>
    <font>
      <sz val="10"/>
      <name val="Geneva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9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3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/>
    </xf>
    <xf numFmtId="178" fontId="7" fillId="0" borderId="0" xfId="0" applyNumberFormat="1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4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5" xfId="0" applyFont="1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 vertical="center"/>
    </xf>
    <xf numFmtId="2" fontId="10" fillId="0" borderId="0" xfId="0" applyNumberFormat="1" applyFont="1" applyAlignment="1">
      <alignment/>
    </xf>
    <xf numFmtId="0" fontId="7" fillId="2" borderId="2" xfId="0" applyFont="1" applyFill="1" applyBorder="1" applyAlignment="1">
      <alignment vertical="top"/>
    </xf>
    <xf numFmtId="1" fontId="7" fillId="2" borderId="2" xfId="0" applyNumberFormat="1" applyFont="1" applyFill="1" applyBorder="1" applyAlignment="1">
      <alignment vertical="top"/>
    </xf>
    <xf numFmtId="10" fontId="7" fillId="2" borderId="2" xfId="0" applyNumberFormat="1" applyFont="1" applyFill="1" applyBorder="1" applyAlignment="1">
      <alignment vertical="top"/>
    </xf>
    <xf numFmtId="9" fontId="7" fillId="2" borderId="2" xfId="0" applyNumberFormat="1" applyFont="1" applyFill="1" applyBorder="1" applyAlignment="1">
      <alignment vertical="top"/>
    </xf>
    <xf numFmtId="174" fontId="7" fillId="2" borderId="2" xfId="0" applyNumberFormat="1" applyFont="1" applyFill="1" applyBorder="1" applyAlignment="1">
      <alignment vertical="top"/>
    </xf>
    <xf numFmtId="176" fontId="7" fillId="2" borderId="2" xfId="0" applyNumberFormat="1" applyFont="1" applyFill="1" applyBorder="1" applyAlignment="1">
      <alignment vertical="top"/>
    </xf>
    <xf numFmtId="3" fontId="7" fillId="2" borderId="2" xfId="0" applyNumberFormat="1" applyFont="1" applyFill="1" applyBorder="1" applyAlignment="1">
      <alignment vertical="top"/>
    </xf>
    <xf numFmtId="4" fontId="7" fillId="2" borderId="2" xfId="0" applyNumberFormat="1" applyFont="1" applyFill="1" applyBorder="1" applyAlignment="1">
      <alignment vertical="top"/>
    </xf>
    <xf numFmtId="0" fontId="7" fillId="0" borderId="2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vertical="center"/>
    </xf>
    <xf numFmtId="0" fontId="7" fillId="0" borderId="7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8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1" fontId="7" fillId="2" borderId="12" xfId="0" applyNumberFormat="1" applyFont="1" applyFill="1" applyBorder="1" applyAlignment="1">
      <alignment vertical="center"/>
    </xf>
    <xf numFmtId="1" fontId="7" fillId="2" borderId="13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20" fontId="7" fillId="2" borderId="14" xfId="0" applyNumberFormat="1" applyFont="1" applyFill="1" applyBorder="1" applyAlignment="1">
      <alignment vertical="center" textRotation="180"/>
    </xf>
    <xf numFmtId="20" fontId="7" fillId="2" borderId="0" xfId="0" applyNumberFormat="1" applyFont="1" applyFill="1" applyBorder="1" applyAlignment="1">
      <alignment vertical="center" textRotation="180"/>
    </xf>
    <xf numFmtId="20" fontId="7" fillId="2" borderId="14" xfId="0" applyNumberFormat="1" applyFont="1" applyFill="1" applyBorder="1" applyAlignment="1">
      <alignment horizontal="left" vertical="center" textRotation="180"/>
    </xf>
    <xf numFmtId="20" fontId="7" fillId="2" borderId="0" xfId="0" applyNumberFormat="1" applyFont="1" applyFill="1" applyBorder="1" applyAlignment="1">
      <alignment horizontal="left" vertical="center" textRotation="180"/>
    </xf>
    <xf numFmtId="1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0" borderId="15" xfId="0" applyNumberFormat="1" applyFont="1" applyBorder="1" applyAlignment="1">
      <alignment vertical="center"/>
    </xf>
    <xf numFmtId="174" fontId="10" fillId="0" borderId="20" xfId="0" applyNumberFormat="1" applyFont="1" applyBorder="1" applyAlignment="1">
      <alignment vertical="center"/>
    </xf>
    <xf numFmtId="174" fontId="10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74" fontId="10" fillId="0" borderId="23" xfId="0" applyNumberFormat="1" applyFont="1" applyFill="1" applyBorder="1" applyAlignment="1">
      <alignment vertical="center"/>
    </xf>
    <xf numFmtId="2" fontId="10" fillId="0" borderId="23" xfId="0" applyNumberFormat="1" applyFont="1" applyBorder="1" applyAlignment="1">
      <alignment vertical="center"/>
    </xf>
    <xf numFmtId="2" fontId="10" fillId="0" borderId="24" xfId="0" applyNumberFormat="1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3" fontId="11" fillId="0" borderId="0" xfId="0" applyNumberFormat="1" applyFont="1" applyBorder="1" applyAlignment="1">
      <alignment vertical="top"/>
    </xf>
    <xf numFmtId="1" fontId="10" fillId="0" borderId="20" xfId="0" applyNumberFormat="1" applyFont="1" applyBorder="1" applyAlignment="1">
      <alignment vertical="center"/>
    </xf>
    <xf numFmtId="1" fontId="10" fillId="0" borderId="21" xfId="0" applyNumberFormat="1" applyFont="1" applyBorder="1" applyAlignment="1">
      <alignment vertical="center"/>
    </xf>
    <xf numFmtId="1" fontId="10" fillId="0" borderId="22" xfId="0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9" fontId="10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9" fontId="10" fillId="2" borderId="0" xfId="0" applyNumberFormat="1" applyFont="1" applyFill="1" applyAlignment="1">
      <alignment/>
    </xf>
    <xf numFmtId="0" fontId="7" fillId="0" borderId="3" xfId="0" applyNumberFormat="1" applyFont="1" applyBorder="1" applyAlignment="1">
      <alignment vertical="center"/>
    </xf>
    <xf numFmtId="0" fontId="7" fillId="2" borderId="12" xfId="0" applyNumberFormat="1" applyFont="1" applyFill="1" applyBorder="1" applyAlignment="1">
      <alignment vertical="center"/>
    </xf>
    <xf numFmtId="0" fontId="7" fillId="2" borderId="13" xfId="0" applyNumberFormat="1" applyFont="1" applyFill="1" applyBorder="1" applyAlignment="1">
      <alignment vertical="center"/>
    </xf>
    <xf numFmtId="0" fontId="7" fillId="2" borderId="28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7" fillId="3" borderId="3" xfId="0" applyFont="1" applyFill="1" applyBorder="1" applyAlignment="1">
      <alignment vertical="top"/>
    </xf>
    <xf numFmtId="0" fontId="7" fillId="3" borderId="2" xfId="0" applyFont="1" applyFill="1" applyBorder="1" applyAlignment="1">
      <alignment vertical="top"/>
    </xf>
    <xf numFmtId="2" fontId="7" fillId="3" borderId="2" xfId="0" applyNumberFormat="1" applyFont="1" applyFill="1" applyBorder="1" applyAlignment="1">
      <alignment vertical="top"/>
    </xf>
    <xf numFmtId="9" fontId="10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30" xfId="0" applyNumberFormat="1" applyFont="1" applyBorder="1" applyAlignment="1">
      <alignment vertical="center"/>
    </xf>
    <xf numFmtId="2" fontId="7" fillId="0" borderId="31" xfId="0" applyNumberFormat="1" applyFont="1" applyBorder="1" applyAlignment="1">
      <alignment vertical="center"/>
    </xf>
    <xf numFmtId="2" fontId="10" fillId="0" borderId="32" xfId="0" applyNumberFormat="1" applyFont="1" applyBorder="1" applyAlignment="1">
      <alignment vertical="center"/>
    </xf>
    <xf numFmtId="1" fontId="10" fillId="0" borderId="32" xfId="0" applyNumberFormat="1" applyFont="1" applyBorder="1" applyAlignment="1">
      <alignment vertical="center"/>
    </xf>
    <xf numFmtId="2" fontId="10" fillId="0" borderId="3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174" fontId="10" fillId="0" borderId="20" xfId="0" applyNumberFormat="1" applyFont="1" applyBorder="1" applyAlignment="1">
      <alignment vertical="center" wrapText="1"/>
    </xf>
    <xf numFmtId="174" fontId="10" fillId="0" borderId="21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2" fontId="10" fillId="0" borderId="32" xfId="0" applyNumberFormat="1" applyFont="1" applyBorder="1" applyAlignment="1">
      <alignment vertical="center" wrapText="1"/>
    </xf>
    <xf numFmtId="9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10" xfId="0" applyFont="1" applyBorder="1" applyAlignment="1">
      <alignment vertical="center" wrapText="1"/>
    </xf>
    <xf numFmtId="1" fontId="7" fillId="3" borderId="2" xfId="0" applyNumberFormat="1" applyFont="1" applyFill="1" applyBorder="1" applyAlignment="1">
      <alignment vertical="top"/>
    </xf>
    <xf numFmtId="174" fontId="10" fillId="0" borderId="0" xfId="0" applyNumberFormat="1" applyFont="1" applyAlignment="1">
      <alignment/>
    </xf>
    <xf numFmtId="2" fontId="10" fillId="0" borderId="26" xfId="0" applyNumberFormat="1" applyFont="1" applyBorder="1" applyAlignment="1">
      <alignment vertical="center"/>
    </xf>
    <xf numFmtId="1" fontId="10" fillId="0" borderId="26" xfId="0" applyNumberFormat="1" applyFont="1" applyBorder="1" applyAlignment="1">
      <alignment vertical="center"/>
    </xf>
    <xf numFmtId="2" fontId="10" fillId="0" borderId="27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2" fontId="7" fillId="0" borderId="35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" fontId="10" fillId="0" borderId="26" xfId="0" applyNumberFormat="1" applyFont="1" applyBorder="1" applyAlignment="1">
      <alignment vertical="center" wrapText="1"/>
    </xf>
    <xf numFmtId="2" fontId="7" fillId="2" borderId="2" xfId="0" applyNumberFormat="1" applyFont="1" applyFill="1" applyBorder="1" applyAlignment="1">
      <alignment vertical="top"/>
    </xf>
    <xf numFmtId="2" fontId="7" fillId="2" borderId="5" xfId="0" applyNumberFormat="1" applyFont="1" applyFill="1" applyBorder="1" applyAlignment="1">
      <alignment vertical="top"/>
    </xf>
    <xf numFmtId="0" fontId="7" fillId="3" borderId="0" xfId="0" applyFont="1" applyFill="1" applyAlignment="1">
      <alignment/>
    </xf>
    <xf numFmtId="0" fontId="7" fillId="2" borderId="3" xfId="0" applyFont="1" applyFill="1" applyBorder="1" applyAlignment="1">
      <alignment vertical="top"/>
    </xf>
    <xf numFmtId="0" fontId="7" fillId="0" borderId="2" xfId="0" applyFont="1" applyFill="1" applyBorder="1" applyAlignment="1">
      <alignment/>
    </xf>
    <xf numFmtId="174" fontId="7" fillId="3" borderId="2" xfId="0" applyNumberFormat="1" applyFont="1" applyFill="1" applyBorder="1" applyAlignment="1">
      <alignment vertical="top"/>
    </xf>
    <xf numFmtId="3" fontId="7" fillId="3" borderId="2" xfId="0" applyNumberFormat="1" applyFont="1" applyFill="1" applyBorder="1" applyAlignment="1">
      <alignment vertical="top"/>
    </xf>
    <xf numFmtId="10" fontId="7" fillId="3" borderId="2" xfId="0" applyNumberFormat="1" applyFont="1" applyFill="1" applyBorder="1" applyAlignment="1">
      <alignment vertical="top"/>
    </xf>
    <xf numFmtId="4" fontId="7" fillId="3" borderId="2" xfId="0" applyNumberFormat="1" applyFont="1" applyFill="1" applyBorder="1" applyAlignment="1">
      <alignment vertical="top"/>
    </xf>
    <xf numFmtId="9" fontId="7" fillId="3" borderId="2" xfId="0" applyNumberFormat="1" applyFont="1" applyFill="1" applyBorder="1" applyAlignment="1">
      <alignment vertical="top"/>
    </xf>
    <xf numFmtId="9" fontId="7" fillId="2" borderId="3" xfId="0" applyNumberFormat="1" applyFont="1" applyFill="1" applyBorder="1" applyAlignment="1">
      <alignment vertical="top"/>
    </xf>
    <xf numFmtId="2" fontId="7" fillId="3" borderId="5" xfId="0" applyNumberFormat="1" applyFont="1" applyFill="1" applyBorder="1" applyAlignment="1">
      <alignment vertical="top"/>
    </xf>
    <xf numFmtId="20" fontId="7" fillId="3" borderId="14" xfId="0" applyNumberFormat="1" applyFont="1" applyFill="1" applyBorder="1" applyAlignment="1">
      <alignment horizontal="left" vertical="center" textRotation="180"/>
    </xf>
    <xf numFmtId="20" fontId="7" fillId="3" borderId="0" xfId="0" applyNumberFormat="1" applyFont="1" applyFill="1" applyBorder="1" applyAlignment="1">
      <alignment horizontal="left" vertical="center" textRotation="180"/>
    </xf>
    <xf numFmtId="20" fontId="7" fillId="3" borderId="14" xfId="0" applyNumberFormat="1" applyFont="1" applyFill="1" applyBorder="1" applyAlignment="1">
      <alignment vertical="center" textRotation="180"/>
    </xf>
    <xf numFmtId="20" fontId="7" fillId="3" borderId="0" xfId="0" applyNumberFormat="1" applyFont="1" applyFill="1" applyBorder="1" applyAlignment="1">
      <alignment vertical="center" textRotation="180"/>
    </xf>
    <xf numFmtId="9" fontId="10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0" fontId="10" fillId="3" borderId="20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37" xfId="0" applyFont="1" applyFill="1" applyBorder="1" applyAlignment="1">
      <alignment vertical="center"/>
    </xf>
    <xf numFmtId="0" fontId="10" fillId="3" borderId="38" xfId="0" applyFont="1" applyFill="1" applyBorder="1" applyAlignment="1">
      <alignment vertical="center"/>
    </xf>
    <xf numFmtId="174" fontId="7" fillId="2" borderId="6" xfId="0" applyNumberFormat="1" applyFont="1" applyFill="1" applyBorder="1" applyAlignment="1">
      <alignment vertical="center"/>
    </xf>
    <xf numFmtId="174" fontId="7" fillId="2" borderId="34" xfId="0" applyNumberFormat="1" applyFont="1" applyFill="1" applyBorder="1" applyAlignment="1">
      <alignment vertical="center"/>
    </xf>
    <xf numFmtId="174" fontId="7" fillId="2" borderId="35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175" fontId="7" fillId="2" borderId="34" xfId="0" applyNumberFormat="1" applyFont="1" applyFill="1" applyBorder="1" applyAlignment="1">
      <alignment vertical="center"/>
    </xf>
    <xf numFmtId="2" fontId="7" fillId="2" borderId="31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10" fillId="2" borderId="39" xfId="0" applyNumberFormat="1" applyFont="1" applyFill="1" applyBorder="1" applyAlignment="1">
      <alignment vertical="center"/>
    </xf>
    <xf numFmtId="2" fontId="10" fillId="2" borderId="20" xfId="0" applyNumberFormat="1" applyFont="1" applyFill="1" applyBorder="1" applyAlignment="1">
      <alignment vertical="center"/>
    </xf>
    <xf numFmtId="2" fontId="10" fillId="2" borderId="21" xfId="0" applyNumberFormat="1" applyFont="1" applyFill="1" applyBorder="1" applyAlignment="1">
      <alignment vertical="center"/>
    </xf>
    <xf numFmtId="2" fontId="10" fillId="2" borderId="22" xfId="0" applyNumberFormat="1" applyFont="1" applyFill="1" applyBorder="1" applyAlignment="1">
      <alignment vertical="center"/>
    </xf>
    <xf numFmtId="2" fontId="10" fillId="2" borderId="40" xfId="0" applyNumberFormat="1" applyFont="1" applyFill="1" applyBorder="1" applyAlignment="1">
      <alignment vertical="center"/>
    </xf>
    <xf numFmtId="2" fontId="10" fillId="2" borderId="23" xfId="0" applyNumberFormat="1" applyFont="1" applyFill="1" applyBorder="1" applyAlignment="1">
      <alignment vertical="center"/>
    </xf>
    <xf numFmtId="2" fontId="10" fillId="2" borderId="24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 wrapText="1"/>
    </xf>
    <xf numFmtId="2" fontId="10" fillId="2" borderId="10" xfId="0" applyNumberFormat="1" applyFont="1" applyFill="1" applyBorder="1" applyAlignment="1">
      <alignment vertical="center"/>
    </xf>
    <xf numFmtId="1" fontId="10" fillId="2" borderId="10" xfId="0" applyNumberFormat="1" applyFont="1" applyFill="1" applyBorder="1" applyAlignment="1">
      <alignment vertical="center"/>
    </xf>
    <xf numFmtId="2" fontId="10" fillId="2" borderId="11" xfId="0" applyNumberFormat="1" applyFont="1" applyFill="1" applyBorder="1" applyAlignment="1">
      <alignment vertical="center"/>
    </xf>
    <xf numFmtId="174" fontId="10" fillId="2" borderId="20" xfId="0" applyNumberFormat="1" applyFont="1" applyFill="1" applyBorder="1" applyAlignment="1">
      <alignment vertical="center"/>
    </xf>
    <xf numFmtId="174" fontId="10" fillId="2" borderId="21" xfId="0" applyNumberFormat="1" applyFont="1" applyFill="1" applyBorder="1" applyAlignment="1">
      <alignment vertical="center"/>
    </xf>
    <xf numFmtId="174" fontId="10" fillId="2" borderId="22" xfId="0" applyNumberFormat="1" applyFont="1" applyFill="1" applyBorder="1" applyAlignment="1">
      <alignment vertical="center"/>
    </xf>
    <xf numFmtId="1" fontId="10" fillId="2" borderId="21" xfId="0" applyNumberFormat="1" applyFont="1" applyFill="1" applyBorder="1" applyAlignment="1">
      <alignment vertical="center"/>
    </xf>
    <xf numFmtId="1" fontId="10" fillId="2" borderId="20" xfId="0" applyNumberFormat="1" applyFont="1" applyFill="1" applyBorder="1" applyAlignment="1">
      <alignment vertical="center"/>
    </xf>
    <xf numFmtId="174" fontId="10" fillId="2" borderId="40" xfId="0" applyNumberFormat="1" applyFont="1" applyFill="1" applyBorder="1" applyAlignment="1">
      <alignment vertical="center"/>
    </xf>
    <xf numFmtId="174" fontId="10" fillId="2" borderId="23" xfId="0" applyNumberFormat="1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19" xfId="0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vertical="center" wrapText="1"/>
    </xf>
    <xf numFmtId="174" fontId="10" fillId="0" borderId="20" xfId="0" applyNumberFormat="1" applyFont="1" applyFill="1" applyBorder="1" applyAlignment="1">
      <alignment vertical="center" wrapText="1"/>
    </xf>
    <xf numFmtId="174" fontId="10" fillId="0" borderId="21" xfId="0" applyNumberFormat="1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1" fontId="10" fillId="0" borderId="15" xfId="0" applyNumberFormat="1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/>
    </xf>
    <xf numFmtId="2" fontId="7" fillId="0" borderId="35" xfId="0" applyNumberFormat="1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vertical="center"/>
    </xf>
    <xf numFmtId="174" fontId="10" fillId="0" borderId="20" xfId="0" applyNumberFormat="1" applyFont="1" applyFill="1" applyBorder="1" applyAlignment="1">
      <alignment vertical="center"/>
    </xf>
    <xf numFmtId="174" fontId="10" fillId="0" borderId="2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2" fontId="7" fillId="0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2" borderId="3" xfId="0" applyFont="1" applyFill="1" applyBorder="1" applyAlignment="1">
      <alignment/>
    </xf>
    <xf numFmtId="10" fontId="7" fillId="2" borderId="2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174" fontId="7" fillId="2" borderId="0" xfId="0" applyNumberFormat="1" applyFont="1" applyFill="1" applyBorder="1" applyAlignment="1">
      <alignment/>
    </xf>
    <xf numFmtId="174" fontId="7" fillId="2" borderId="2" xfId="0" applyNumberFormat="1" applyFont="1" applyFill="1" applyBorder="1" applyAlignment="1">
      <alignment/>
    </xf>
    <xf numFmtId="1" fontId="7" fillId="2" borderId="2" xfId="0" applyNumberFormat="1" applyFont="1" applyFill="1" applyBorder="1" applyAlignment="1">
      <alignment/>
    </xf>
    <xf numFmtId="1" fontId="7" fillId="2" borderId="42" xfId="0" applyNumberFormat="1" applyFont="1" applyFill="1" applyBorder="1" applyAlignment="1">
      <alignment/>
    </xf>
    <xf numFmtId="1" fontId="7" fillId="2" borderId="43" xfId="0" applyNumberFormat="1" applyFont="1" applyFill="1" applyBorder="1" applyAlignment="1">
      <alignment/>
    </xf>
    <xf numFmtId="1" fontId="7" fillId="2" borderId="41" xfId="0" applyNumberFormat="1" applyFont="1" applyFill="1" applyBorder="1" applyAlignment="1">
      <alignment/>
    </xf>
    <xf numFmtId="1" fontId="7" fillId="2" borderId="44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/>
    </xf>
    <xf numFmtId="9" fontId="7" fillId="2" borderId="2" xfId="0" applyNumberFormat="1" applyFont="1" applyFill="1" applyBorder="1" applyAlignment="1">
      <alignment/>
    </xf>
    <xf numFmtId="177" fontId="7" fillId="2" borderId="5" xfId="0" applyNumberFormat="1" applyFont="1" applyFill="1" applyBorder="1" applyAlignment="1">
      <alignment vertical="top"/>
    </xf>
    <xf numFmtId="3" fontId="7" fillId="2" borderId="2" xfId="0" applyNumberFormat="1" applyFont="1" applyFill="1" applyBorder="1" applyAlignment="1">
      <alignment/>
    </xf>
    <xf numFmtId="174" fontId="7" fillId="2" borderId="44" xfId="0" applyNumberFormat="1" applyFont="1" applyFill="1" applyBorder="1" applyAlignment="1">
      <alignment/>
    </xf>
    <xf numFmtId="176" fontId="7" fillId="2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1" fontId="8" fillId="0" borderId="3" xfId="0" applyNumberFormat="1" applyFont="1" applyFill="1" applyBorder="1" applyAlignment="1">
      <alignment/>
    </xf>
    <xf numFmtId="177" fontId="7" fillId="2" borderId="3" xfId="0" applyNumberFormat="1" applyFont="1" applyFill="1" applyBorder="1" applyAlignment="1">
      <alignment vertical="center"/>
    </xf>
    <xf numFmtId="177" fontId="7" fillId="2" borderId="1" xfId="0" applyNumberFormat="1" applyFont="1" applyFill="1" applyBorder="1" applyAlignment="1">
      <alignment vertical="center"/>
    </xf>
    <xf numFmtId="2" fontId="7" fillId="2" borderId="2" xfId="0" applyNumberFormat="1" applyFont="1" applyFill="1" applyBorder="1" applyAlignment="1">
      <alignment/>
    </xf>
    <xf numFmtId="1" fontId="7" fillId="2" borderId="5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wrapText="1"/>
    </xf>
    <xf numFmtId="3" fontId="7" fillId="2" borderId="44" xfId="0" applyNumberFormat="1" applyFont="1" applyFill="1" applyBorder="1" applyAlignment="1">
      <alignment vertical="top"/>
    </xf>
    <xf numFmtId="3" fontId="7" fillId="2" borderId="5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8" xfId="0" applyFont="1" applyBorder="1" applyAlignment="1">
      <alignment/>
    </xf>
    <xf numFmtId="1" fontId="8" fillId="0" borderId="8" xfId="0" applyNumberFormat="1" applyFont="1" applyBorder="1" applyAlignment="1">
      <alignment/>
    </xf>
    <xf numFmtId="0" fontId="7" fillId="0" borderId="5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4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45" xfId="0" applyFont="1" applyBorder="1" applyAlignment="1">
      <alignment/>
    </xf>
    <xf numFmtId="0" fontId="8" fillId="0" borderId="29" xfId="0" applyFont="1" applyFill="1" applyBorder="1" applyAlignment="1">
      <alignment/>
    </xf>
    <xf numFmtId="0" fontId="7" fillId="0" borderId="45" xfId="0" applyFont="1" applyBorder="1" applyAlignment="1">
      <alignment wrapText="1"/>
    </xf>
    <xf numFmtId="0" fontId="7" fillId="0" borderId="45" xfId="0" applyFont="1" applyBorder="1" applyAlignment="1">
      <alignment horizontal="left" wrapText="1"/>
    </xf>
    <xf numFmtId="0" fontId="7" fillId="0" borderId="29" xfId="0" applyFont="1" applyBorder="1" applyAlignment="1">
      <alignment vertical="center"/>
    </xf>
    <xf numFmtId="0" fontId="7" fillId="0" borderId="46" xfId="0" applyFont="1" applyBorder="1" applyAlignment="1">
      <alignment wrapText="1"/>
    </xf>
    <xf numFmtId="0" fontId="7" fillId="0" borderId="47" xfId="0" applyFont="1" applyBorder="1" applyAlignment="1">
      <alignment/>
    </xf>
    <xf numFmtId="0" fontId="7" fillId="0" borderId="45" xfId="0" applyFont="1" applyBorder="1" applyAlignment="1">
      <alignment vertical="top" wrapText="1"/>
    </xf>
    <xf numFmtId="0" fontId="7" fillId="0" borderId="31" xfId="0" applyFont="1" applyBorder="1" applyAlignment="1">
      <alignment vertical="center"/>
    </xf>
    <xf numFmtId="1" fontId="7" fillId="0" borderId="45" xfId="0" applyNumberFormat="1" applyFont="1" applyBorder="1" applyAlignment="1">
      <alignment/>
    </xf>
    <xf numFmtId="1" fontId="7" fillId="0" borderId="8" xfId="0" applyNumberFormat="1" applyFont="1" applyBorder="1" applyAlignment="1">
      <alignment/>
    </xf>
    <xf numFmtId="0" fontId="7" fillId="0" borderId="8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8" xfId="0" applyFont="1" applyBorder="1" applyAlignment="1">
      <alignment vertical="top" wrapText="1"/>
    </xf>
    <xf numFmtId="1" fontId="7" fillId="0" borderId="0" xfId="0" applyNumberFormat="1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7" fillId="0" borderId="41" xfId="0" applyFont="1" applyBorder="1" applyAlignment="1">
      <alignment vertical="top" wrapText="1"/>
    </xf>
    <xf numFmtId="0" fontId="7" fillId="0" borderId="35" xfId="0" applyFont="1" applyBorder="1" applyAlignment="1">
      <alignment vertical="center"/>
    </xf>
    <xf numFmtId="0" fontId="8" fillId="0" borderId="34" xfId="0" applyFont="1" applyBorder="1" applyAlignment="1">
      <alignment vertical="top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center"/>
    </xf>
    <xf numFmtId="0" fontId="7" fillId="0" borderId="8" xfId="0" applyFont="1" applyBorder="1" applyAlignment="1">
      <alignment/>
    </xf>
    <xf numFmtId="0" fontId="8" fillId="0" borderId="31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13" fillId="0" borderId="0" xfId="0" applyFont="1" applyFill="1" applyAlignment="1">
      <alignment vertical="top"/>
    </xf>
    <xf numFmtId="0" fontId="7" fillId="3" borderId="1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left" vertical="center"/>
    </xf>
    <xf numFmtId="20" fontId="7" fillId="3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1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150" zoomScaleNormal="150" workbookViewId="0" topLeftCell="A30">
      <selection activeCell="A53" sqref="A53"/>
    </sheetView>
  </sheetViews>
  <sheetFormatPr defaultColWidth="11.00390625" defaultRowHeight="12"/>
  <cols>
    <col min="1" max="1" width="43.875" style="32" customWidth="1"/>
    <col min="2" max="2" width="11.50390625" style="30" bestFit="1" customWidth="1"/>
    <col min="3" max="3" width="10.875" style="44" customWidth="1"/>
    <col min="4" max="16384" width="10.875" style="30" customWidth="1"/>
  </cols>
  <sheetData>
    <row r="1" ht="12.75">
      <c r="A1" s="46" t="s">
        <v>179</v>
      </c>
    </row>
    <row r="2" ht="12.75">
      <c r="A2" s="32" t="s">
        <v>32</v>
      </c>
    </row>
    <row r="3" ht="15">
      <c r="A3" s="259"/>
    </row>
    <row r="4" ht="15">
      <c r="A4" s="259" t="s">
        <v>20</v>
      </c>
    </row>
    <row r="5" spans="1:3" ht="12">
      <c r="A5" s="46"/>
      <c r="C5" s="30"/>
    </row>
    <row r="6" spans="1:7" s="48" customFormat="1" ht="15.75" customHeight="1">
      <c r="A6" s="36" t="s">
        <v>133</v>
      </c>
      <c r="B6" s="30" t="s">
        <v>47</v>
      </c>
      <c r="C6" s="291" t="s">
        <v>182</v>
      </c>
      <c r="D6" s="30" t="s">
        <v>132</v>
      </c>
      <c r="E6" s="30" t="s">
        <v>4</v>
      </c>
      <c r="F6" s="30" t="s">
        <v>150</v>
      </c>
      <c r="G6" s="30" t="s">
        <v>78</v>
      </c>
    </row>
    <row r="7" spans="1:7" ht="12">
      <c r="A7" s="32" t="s">
        <v>134</v>
      </c>
      <c r="B7" s="110">
        <v>39</v>
      </c>
      <c r="C7" s="145">
        <f>$B7</f>
        <v>39</v>
      </c>
      <c r="D7" s="145">
        <f aca="true" t="shared" si="0" ref="D7:G8">$B7</f>
        <v>39</v>
      </c>
      <c r="E7" s="145">
        <f t="shared" si="0"/>
        <v>39</v>
      </c>
      <c r="F7" s="145">
        <f t="shared" si="0"/>
        <v>39</v>
      </c>
      <c r="G7" s="145">
        <f t="shared" si="0"/>
        <v>39</v>
      </c>
    </row>
    <row r="8" spans="1:7" s="46" customFormat="1" ht="12">
      <c r="A8" s="32" t="s">
        <v>35</v>
      </c>
      <c r="B8" s="111">
        <v>5</v>
      </c>
      <c r="C8" s="53">
        <f>$B8</f>
        <v>5</v>
      </c>
      <c r="D8" s="53">
        <f t="shared" si="0"/>
        <v>5</v>
      </c>
      <c r="E8" s="53">
        <f t="shared" si="0"/>
        <v>5</v>
      </c>
      <c r="F8" s="53">
        <f t="shared" si="0"/>
        <v>5</v>
      </c>
      <c r="G8" s="53">
        <f t="shared" si="0"/>
        <v>5</v>
      </c>
    </row>
    <row r="9" spans="1:7" s="46" customFormat="1" ht="12">
      <c r="A9" s="32" t="s">
        <v>181</v>
      </c>
      <c r="B9" s="111">
        <v>15</v>
      </c>
      <c r="C9" s="111">
        <v>30</v>
      </c>
      <c r="D9" s="111">
        <v>40</v>
      </c>
      <c r="E9" s="111">
        <v>50</v>
      </c>
      <c r="F9" s="111">
        <v>60</v>
      </c>
      <c r="G9" s="111">
        <v>60</v>
      </c>
    </row>
    <row r="10" spans="1:7" s="46" customFormat="1" ht="12">
      <c r="A10" s="32" t="s">
        <v>143</v>
      </c>
      <c r="B10" s="111">
        <v>30</v>
      </c>
      <c r="C10" s="111">
        <v>50</v>
      </c>
      <c r="D10" s="111">
        <v>70</v>
      </c>
      <c r="E10" s="111">
        <v>80</v>
      </c>
      <c r="F10" s="111">
        <v>100</v>
      </c>
      <c r="G10" s="111">
        <v>120</v>
      </c>
    </row>
    <row r="11" spans="1:7" s="50" customFormat="1" ht="15.75" customHeight="1">
      <c r="A11" s="36" t="s">
        <v>82</v>
      </c>
      <c r="B11" s="49"/>
      <c r="C11" s="146"/>
      <c r="D11" s="146"/>
      <c r="E11" s="146"/>
      <c r="F11" s="146"/>
      <c r="G11" s="146"/>
    </row>
    <row r="12" spans="1:7" s="46" customFormat="1" ht="12">
      <c r="A12" s="32" t="s">
        <v>64</v>
      </c>
      <c r="B12" s="133">
        <v>1970</v>
      </c>
      <c r="C12" s="145">
        <f>$B12</f>
        <v>1970</v>
      </c>
      <c r="D12" s="145">
        <f aca="true" t="shared" si="1" ref="D12:G13">$B12</f>
        <v>1970</v>
      </c>
      <c r="E12" s="145">
        <f t="shared" si="1"/>
        <v>1970</v>
      </c>
      <c r="F12" s="145">
        <f t="shared" si="1"/>
        <v>1970</v>
      </c>
      <c r="G12" s="145">
        <f t="shared" si="1"/>
        <v>1970</v>
      </c>
    </row>
    <row r="13" spans="1:7" ht="12">
      <c r="A13" s="32" t="s">
        <v>83</v>
      </c>
      <c r="B13" s="112">
        <v>1</v>
      </c>
      <c r="C13" s="142">
        <f>$B13</f>
        <v>1</v>
      </c>
      <c r="D13" s="53">
        <f t="shared" si="1"/>
        <v>1</v>
      </c>
      <c r="E13" s="53">
        <f t="shared" si="1"/>
        <v>1</v>
      </c>
      <c r="F13" s="53">
        <f t="shared" si="1"/>
        <v>1</v>
      </c>
      <c r="G13" s="53">
        <f t="shared" si="1"/>
        <v>1</v>
      </c>
    </row>
    <row r="14" spans="1:7" ht="12">
      <c r="A14" s="32" t="s">
        <v>104</v>
      </c>
      <c r="B14" s="55">
        <f aca="true" t="shared" si="2" ref="B14:G14">(B13*B$7)/B$12</f>
        <v>0.01979695431472081</v>
      </c>
      <c r="C14" s="55">
        <f t="shared" si="2"/>
        <v>0.01979695431472081</v>
      </c>
      <c r="D14" s="55">
        <f t="shared" si="2"/>
        <v>0.01979695431472081</v>
      </c>
      <c r="E14" s="55">
        <f t="shared" si="2"/>
        <v>0.01979695431472081</v>
      </c>
      <c r="F14" s="55">
        <f t="shared" si="2"/>
        <v>0.01979695431472081</v>
      </c>
      <c r="G14" s="55">
        <f t="shared" si="2"/>
        <v>0.01979695431472081</v>
      </c>
    </row>
    <row r="15" spans="1:7" ht="12">
      <c r="A15" s="32" t="s">
        <v>103</v>
      </c>
      <c r="B15" s="112">
        <v>7.5</v>
      </c>
      <c r="C15" s="112">
        <v>7.5</v>
      </c>
      <c r="D15" s="112">
        <v>10</v>
      </c>
      <c r="E15" s="112">
        <v>12.5</v>
      </c>
      <c r="F15" s="112">
        <v>15</v>
      </c>
      <c r="G15" s="112">
        <v>15</v>
      </c>
    </row>
    <row r="16" spans="1:7" ht="12">
      <c r="A16" s="32" t="s">
        <v>104</v>
      </c>
      <c r="B16" s="55">
        <f aca="true" t="shared" si="3" ref="B16:G16">(B15*B$7)/B$12</f>
        <v>0.1484771573604061</v>
      </c>
      <c r="C16" s="55">
        <f t="shared" si="3"/>
        <v>0.1484771573604061</v>
      </c>
      <c r="D16" s="55">
        <f t="shared" si="3"/>
        <v>0.19796954314720813</v>
      </c>
      <c r="E16" s="55">
        <f t="shared" si="3"/>
        <v>0.24746192893401014</v>
      </c>
      <c r="F16" s="55">
        <f t="shared" si="3"/>
        <v>0.2969543147208122</v>
      </c>
      <c r="G16" s="55">
        <f t="shared" si="3"/>
        <v>0.2969543147208122</v>
      </c>
    </row>
    <row r="17" spans="1:7" ht="21.75">
      <c r="A17" s="32" t="s">
        <v>5</v>
      </c>
      <c r="B17" s="133">
        <v>20</v>
      </c>
      <c r="C17" s="54">
        <f>$B17</f>
        <v>20</v>
      </c>
      <c r="D17" s="54">
        <f>$B17</f>
        <v>20</v>
      </c>
      <c r="E17" s="54">
        <f>$B17</f>
        <v>20</v>
      </c>
      <c r="F17" s="54">
        <f>$B17</f>
        <v>20</v>
      </c>
      <c r="G17" s="54">
        <f>$B17</f>
        <v>20</v>
      </c>
    </row>
    <row r="18" spans="1:7" ht="12">
      <c r="A18" s="32" t="s">
        <v>57</v>
      </c>
      <c r="B18" s="147">
        <v>1</v>
      </c>
      <c r="C18" s="57">
        <f aca="true" t="shared" si="4" ref="C18:G19">$B18</f>
        <v>1</v>
      </c>
      <c r="D18" s="57">
        <f t="shared" si="4"/>
        <v>1</v>
      </c>
      <c r="E18" s="57">
        <f t="shared" si="4"/>
        <v>1</v>
      </c>
      <c r="F18" s="57">
        <f t="shared" si="4"/>
        <v>1</v>
      </c>
      <c r="G18" s="57">
        <f t="shared" si="4"/>
        <v>1</v>
      </c>
    </row>
    <row r="19" spans="1:7" ht="21.75">
      <c r="A19" s="32" t="s">
        <v>40</v>
      </c>
      <c r="B19" s="147">
        <v>5</v>
      </c>
      <c r="C19" s="57">
        <f t="shared" si="4"/>
        <v>5</v>
      </c>
      <c r="D19" s="57">
        <f t="shared" si="4"/>
        <v>5</v>
      </c>
      <c r="E19" s="57">
        <f t="shared" si="4"/>
        <v>5</v>
      </c>
      <c r="F19" s="57">
        <f t="shared" si="4"/>
        <v>5</v>
      </c>
      <c r="G19" s="57">
        <f t="shared" si="4"/>
        <v>5</v>
      </c>
    </row>
    <row r="20" spans="1:7" ht="21.75">
      <c r="A20" s="32" t="s">
        <v>155</v>
      </c>
      <c r="B20" s="58">
        <f aca="true" t="shared" si="5" ref="B20:G20">B19/(B7*5)/2</f>
        <v>0.01282051282051282</v>
      </c>
      <c r="C20" s="58">
        <f t="shared" si="5"/>
        <v>0.01282051282051282</v>
      </c>
      <c r="D20" s="58">
        <f t="shared" si="5"/>
        <v>0.01282051282051282</v>
      </c>
      <c r="E20" s="58">
        <f t="shared" si="5"/>
        <v>0.01282051282051282</v>
      </c>
      <c r="F20" s="58">
        <f t="shared" si="5"/>
        <v>0.01282051282051282</v>
      </c>
      <c r="G20" s="58">
        <f t="shared" si="5"/>
        <v>0.01282051282051282</v>
      </c>
    </row>
    <row r="21" spans="1:7" ht="21.75">
      <c r="A21" s="32" t="s">
        <v>165</v>
      </c>
      <c r="B21" s="58">
        <f aca="true" t="shared" si="6" ref="B21:G21">42/B12</f>
        <v>0.02131979695431472</v>
      </c>
      <c r="C21" s="58">
        <f t="shared" si="6"/>
        <v>0.02131979695431472</v>
      </c>
      <c r="D21" s="58">
        <f t="shared" si="6"/>
        <v>0.02131979695431472</v>
      </c>
      <c r="E21" s="58">
        <f t="shared" si="6"/>
        <v>0.02131979695431472</v>
      </c>
      <c r="F21" s="58">
        <f t="shared" si="6"/>
        <v>0.02131979695431472</v>
      </c>
      <c r="G21" s="58">
        <f t="shared" si="6"/>
        <v>0.02131979695431472</v>
      </c>
    </row>
    <row r="22" spans="1:7" ht="21.75">
      <c r="A22" s="32" t="s">
        <v>164</v>
      </c>
      <c r="B22" s="56">
        <v>0.03</v>
      </c>
      <c r="C22" s="56">
        <f>$B22</f>
        <v>0.03</v>
      </c>
      <c r="D22" s="56">
        <f>$B22</f>
        <v>0.03</v>
      </c>
      <c r="E22" s="56">
        <f>$B22</f>
        <v>0.03</v>
      </c>
      <c r="F22" s="56">
        <f>$B22</f>
        <v>0.03</v>
      </c>
      <c r="G22" s="56">
        <f>$B22</f>
        <v>0.03</v>
      </c>
    </row>
    <row r="23" spans="1:7" s="50" customFormat="1" ht="12">
      <c r="A23" s="36" t="s">
        <v>59</v>
      </c>
      <c r="B23" s="49"/>
      <c r="C23" s="49"/>
      <c r="D23" s="49"/>
      <c r="E23" s="49"/>
      <c r="F23" s="49"/>
      <c r="G23" s="49"/>
    </row>
    <row r="24" spans="1:7" s="46" customFormat="1" ht="12">
      <c r="A24" s="32" t="s">
        <v>0</v>
      </c>
      <c r="B24" s="148">
        <v>120000</v>
      </c>
      <c r="C24" s="59">
        <f>$B24</f>
        <v>120000</v>
      </c>
      <c r="D24" s="59">
        <f>$B24</f>
        <v>120000</v>
      </c>
      <c r="E24" s="59">
        <f>$B24</f>
        <v>120000</v>
      </c>
      <c r="F24" s="59">
        <f>$B24</f>
        <v>120000</v>
      </c>
      <c r="G24" s="59">
        <f>$B24</f>
        <v>120000</v>
      </c>
    </row>
    <row r="25" spans="1:7" ht="12">
      <c r="A25" s="32" t="s">
        <v>1</v>
      </c>
      <c r="B25" s="148">
        <v>115161.8</v>
      </c>
      <c r="C25" s="59">
        <f aca="true" t="shared" si="7" ref="C25:G29">$B25</f>
        <v>115161.8</v>
      </c>
      <c r="D25" s="59">
        <f t="shared" si="7"/>
        <v>115161.8</v>
      </c>
      <c r="E25" s="59">
        <f t="shared" si="7"/>
        <v>115161.8</v>
      </c>
      <c r="F25" s="59">
        <f t="shared" si="7"/>
        <v>115161.8</v>
      </c>
      <c r="G25" s="59">
        <f t="shared" si="7"/>
        <v>115161.8</v>
      </c>
    </row>
    <row r="26" spans="1:7" ht="21.75">
      <c r="A26" s="32" t="s">
        <v>2</v>
      </c>
      <c r="B26" s="148">
        <v>98926</v>
      </c>
      <c r="C26" s="59">
        <f t="shared" si="7"/>
        <v>98926</v>
      </c>
      <c r="D26" s="59">
        <f t="shared" si="7"/>
        <v>98926</v>
      </c>
      <c r="E26" s="59">
        <f t="shared" si="7"/>
        <v>98926</v>
      </c>
      <c r="F26" s="59">
        <f t="shared" si="7"/>
        <v>98926</v>
      </c>
      <c r="G26" s="59">
        <f t="shared" si="7"/>
        <v>98926</v>
      </c>
    </row>
    <row r="27" spans="1:7" ht="21.75">
      <c r="A27" s="32" t="s">
        <v>3</v>
      </c>
      <c r="B27" s="148">
        <v>63000</v>
      </c>
      <c r="C27" s="59">
        <f t="shared" si="7"/>
        <v>63000</v>
      </c>
      <c r="D27" s="59">
        <f t="shared" si="7"/>
        <v>63000</v>
      </c>
      <c r="E27" s="59">
        <f t="shared" si="7"/>
        <v>63000</v>
      </c>
      <c r="F27" s="59">
        <f t="shared" si="7"/>
        <v>63000</v>
      </c>
      <c r="G27" s="59">
        <f t="shared" si="7"/>
        <v>63000</v>
      </c>
    </row>
    <row r="28" spans="1:7" ht="12">
      <c r="A28" s="32" t="s">
        <v>60</v>
      </c>
      <c r="B28" s="148">
        <v>68107</v>
      </c>
      <c r="C28" s="59">
        <f t="shared" si="7"/>
        <v>68107</v>
      </c>
      <c r="D28" s="59">
        <f t="shared" si="7"/>
        <v>68107</v>
      </c>
      <c r="E28" s="59">
        <f t="shared" si="7"/>
        <v>68107</v>
      </c>
      <c r="F28" s="59">
        <f t="shared" si="7"/>
        <v>68107</v>
      </c>
      <c r="G28" s="59">
        <f t="shared" si="7"/>
        <v>68107</v>
      </c>
    </row>
    <row r="29" spans="1:7" ht="21.75">
      <c r="A29" s="32" t="s">
        <v>156</v>
      </c>
      <c r="B29" s="149">
        <v>0.1785</v>
      </c>
      <c r="C29" s="55">
        <f t="shared" si="7"/>
        <v>0.1785</v>
      </c>
      <c r="D29" s="55">
        <f t="shared" si="7"/>
        <v>0.1785</v>
      </c>
      <c r="E29" s="55">
        <f t="shared" si="7"/>
        <v>0.1785</v>
      </c>
      <c r="F29" s="55">
        <f t="shared" si="7"/>
        <v>0.1785</v>
      </c>
      <c r="G29" s="55">
        <f t="shared" si="7"/>
        <v>0.1785</v>
      </c>
    </row>
    <row r="30" spans="1:7" s="50" customFormat="1" ht="15.75" customHeight="1">
      <c r="A30" s="36" t="s">
        <v>95</v>
      </c>
      <c r="B30" s="49"/>
      <c r="C30" s="49"/>
      <c r="D30" s="49"/>
      <c r="E30" s="49"/>
      <c r="F30" s="49"/>
      <c r="G30" s="49"/>
    </row>
    <row r="31" spans="1:7" ht="12" customHeight="1">
      <c r="A31" s="32" t="s">
        <v>113</v>
      </c>
      <c r="B31" s="150">
        <v>8</v>
      </c>
      <c r="C31" s="60">
        <f>$B31</f>
        <v>8</v>
      </c>
      <c r="D31" s="60">
        <f>$B31</f>
        <v>8</v>
      </c>
      <c r="E31" s="60">
        <f>$B31</f>
        <v>8</v>
      </c>
      <c r="F31" s="60">
        <f>$B31</f>
        <v>8</v>
      </c>
      <c r="G31" s="60">
        <f>$B31</f>
        <v>8</v>
      </c>
    </row>
    <row r="32" spans="1:7" ht="12">
      <c r="A32" s="32" t="s">
        <v>81</v>
      </c>
      <c r="B32" s="150">
        <v>0.5</v>
      </c>
      <c r="C32" s="60">
        <f aca="true" t="shared" si="8" ref="C32:G37">$B32</f>
        <v>0.5</v>
      </c>
      <c r="D32" s="60">
        <f t="shared" si="8"/>
        <v>0.5</v>
      </c>
      <c r="E32" s="60">
        <f t="shared" si="8"/>
        <v>0.5</v>
      </c>
      <c r="F32" s="60">
        <f t="shared" si="8"/>
        <v>0.5</v>
      </c>
      <c r="G32" s="60">
        <f t="shared" si="8"/>
        <v>0.5</v>
      </c>
    </row>
    <row r="33" spans="1:7" ht="12">
      <c r="A33" s="32" t="s">
        <v>138</v>
      </c>
      <c r="B33" s="150">
        <v>1.5</v>
      </c>
      <c r="C33" s="60">
        <f t="shared" si="8"/>
        <v>1.5</v>
      </c>
      <c r="D33" s="60">
        <f t="shared" si="8"/>
        <v>1.5</v>
      </c>
      <c r="E33" s="60">
        <f t="shared" si="8"/>
        <v>1.5</v>
      </c>
      <c r="F33" s="60">
        <f t="shared" si="8"/>
        <v>1.5</v>
      </c>
      <c r="G33" s="60">
        <f t="shared" si="8"/>
        <v>1.5</v>
      </c>
    </row>
    <row r="34" spans="1:7" ht="15.75" customHeight="1">
      <c r="A34" s="299" t="s">
        <v>65</v>
      </c>
      <c r="B34" s="150"/>
      <c r="C34" s="60"/>
      <c r="D34" s="60"/>
      <c r="E34" s="60"/>
      <c r="F34" s="60"/>
      <c r="G34" s="60"/>
    </row>
    <row r="35" spans="1:7" ht="12">
      <c r="A35" s="32" t="s">
        <v>66</v>
      </c>
      <c r="B35" s="150">
        <v>3</v>
      </c>
      <c r="C35" s="60">
        <f t="shared" si="8"/>
        <v>3</v>
      </c>
      <c r="D35" s="60">
        <f t="shared" si="8"/>
        <v>3</v>
      </c>
      <c r="E35" s="60">
        <f t="shared" si="8"/>
        <v>3</v>
      </c>
      <c r="F35" s="60">
        <f t="shared" si="8"/>
        <v>3</v>
      </c>
      <c r="G35" s="60">
        <f t="shared" si="8"/>
        <v>3</v>
      </c>
    </row>
    <row r="36" spans="1:7" ht="12">
      <c r="A36" s="32" t="s">
        <v>70</v>
      </c>
      <c r="B36" s="150">
        <v>8</v>
      </c>
      <c r="C36" s="60">
        <f t="shared" si="8"/>
        <v>8</v>
      </c>
      <c r="D36" s="60">
        <f t="shared" si="8"/>
        <v>8</v>
      </c>
      <c r="E36" s="60">
        <f t="shared" si="8"/>
        <v>8</v>
      </c>
      <c r="F36" s="60">
        <f t="shared" si="8"/>
        <v>8</v>
      </c>
      <c r="G36" s="60">
        <f t="shared" si="8"/>
        <v>8</v>
      </c>
    </row>
    <row r="37" spans="1:7" ht="12">
      <c r="A37" s="32" t="s">
        <v>184</v>
      </c>
      <c r="B37" s="150">
        <v>1.5</v>
      </c>
      <c r="C37" s="60">
        <f t="shared" si="8"/>
        <v>1.5</v>
      </c>
      <c r="D37" s="60">
        <f t="shared" si="8"/>
        <v>1.5</v>
      </c>
      <c r="E37" s="60">
        <f t="shared" si="8"/>
        <v>1.5</v>
      </c>
      <c r="F37" s="60">
        <f t="shared" si="8"/>
        <v>1.5</v>
      </c>
      <c r="G37" s="60">
        <f t="shared" si="8"/>
        <v>1.5</v>
      </c>
    </row>
    <row r="38" spans="1:7" s="50" customFormat="1" ht="15.75" customHeight="1">
      <c r="A38" s="36" t="s">
        <v>96</v>
      </c>
      <c r="B38" s="49"/>
      <c r="C38" s="49"/>
      <c r="D38" s="49"/>
      <c r="E38" s="49"/>
      <c r="F38" s="49"/>
      <c r="G38" s="49"/>
    </row>
    <row r="39" spans="1:7" s="46" customFormat="1" ht="12">
      <c r="A39" s="32" t="s">
        <v>88</v>
      </c>
      <c r="B39" s="148">
        <v>240</v>
      </c>
      <c r="C39" s="59">
        <f>$B39</f>
        <v>240</v>
      </c>
      <c r="D39" s="59">
        <f>$B39</f>
        <v>240</v>
      </c>
      <c r="E39" s="59">
        <f>$B39</f>
        <v>240</v>
      </c>
      <c r="F39" s="59">
        <f>$B39</f>
        <v>240</v>
      </c>
      <c r="G39" s="59">
        <f>$B39</f>
        <v>240</v>
      </c>
    </row>
    <row r="40" spans="1:7" ht="12">
      <c r="A40" s="32" t="s">
        <v>44</v>
      </c>
      <c r="B40" s="111">
        <v>4</v>
      </c>
      <c r="C40" s="53">
        <v>4</v>
      </c>
      <c r="D40" s="53">
        <v>4</v>
      </c>
      <c r="E40" s="53">
        <v>4</v>
      </c>
      <c r="F40" s="53">
        <v>4</v>
      </c>
      <c r="G40" s="53">
        <v>4</v>
      </c>
    </row>
    <row r="41" spans="1:7" s="50" customFormat="1" ht="15.75" customHeight="1">
      <c r="A41" s="36" t="s">
        <v>157</v>
      </c>
      <c r="B41" s="49"/>
      <c r="C41" s="49"/>
      <c r="D41" s="49"/>
      <c r="E41" s="49"/>
      <c r="F41" s="49"/>
      <c r="G41" s="49"/>
    </row>
    <row r="42" spans="1:7" s="46" customFormat="1" ht="12">
      <c r="A42" s="32" t="s">
        <v>54</v>
      </c>
      <c r="B42" s="151">
        <v>0.03</v>
      </c>
      <c r="C42" s="56">
        <f>$B42</f>
        <v>0.03</v>
      </c>
      <c r="D42" s="56">
        <f aca="true" t="shared" si="9" ref="D42:G43">$B42</f>
        <v>0.03</v>
      </c>
      <c r="E42" s="56">
        <f t="shared" si="9"/>
        <v>0.03</v>
      </c>
      <c r="F42" s="56">
        <f t="shared" si="9"/>
        <v>0.03</v>
      </c>
      <c r="G42" s="56">
        <f t="shared" si="9"/>
        <v>0.03</v>
      </c>
    </row>
    <row r="43" spans="1:7" s="46" customFormat="1" ht="12">
      <c r="A43" s="32" t="s">
        <v>62</v>
      </c>
      <c r="B43" s="151">
        <v>0.02</v>
      </c>
      <c r="C43" s="56">
        <f>$B43</f>
        <v>0.02</v>
      </c>
      <c r="D43" s="56">
        <f t="shared" si="9"/>
        <v>0.02</v>
      </c>
      <c r="E43" s="56">
        <f t="shared" si="9"/>
        <v>0.02</v>
      </c>
      <c r="F43" s="56">
        <f t="shared" si="9"/>
        <v>0.02</v>
      </c>
      <c r="G43" s="56">
        <f t="shared" si="9"/>
        <v>0.02</v>
      </c>
    </row>
    <row r="44" spans="1:7" s="46" customFormat="1" ht="12">
      <c r="A44" s="260" t="s">
        <v>115</v>
      </c>
      <c r="B44" s="152">
        <f aca="true" t="shared" si="10" ref="B44:G44">SUM(B42:B43)</f>
        <v>0.05</v>
      </c>
      <c r="C44" s="152">
        <f t="shared" si="10"/>
        <v>0.05</v>
      </c>
      <c r="D44" s="152">
        <f t="shared" si="10"/>
        <v>0.05</v>
      </c>
      <c r="E44" s="152">
        <f t="shared" si="10"/>
        <v>0.05</v>
      </c>
      <c r="F44" s="152">
        <f t="shared" si="10"/>
        <v>0.05</v>
      </c>
      <c r="G44" s="152">
        <f t="shared" si="10"/>
        <v>0.05</v>
      </c>
    </row>
    <row r="45" spans="1:7" ht="12">
      <c r="A45" s="47" t="s">
        <v>158</v>
      </c>
      <c r="B45" s="153">
        <v>2</v>
      </c>
      <c r="C45" s="143">
        <f>$B45</f>
        <v>2</v>
      </c>
      <c r="D45" s="143">
        <f>$B45</f>
        <v>2</v>
      </c>
      <c r="E45" s="143">
        <f>$B45</f>
        <v>2</v>
      </c>
      <c r="F45" s="143">
        <f>$B45</f>
        <v>2</v>
      </c>
      <c r="G45" s="143">
        <f>$B45</f>
        <v>2</v>
      </c>
    </row>
    <row r="46" ht="12.75"/>
    <row r="48" ht="12.75">
      <c r="A48" s="29" t="s">
        <v>127</v>
      </c>
    </row>
    <row r="52" spans="1:3" s="296" customFormat="1" ht="10.5">
      <c r="A52" s="295"/>
      <c r="C52" s="297"/>
    </row>
    <row r="79" ht="12.75">
      <c r="A79" s="261"/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7"/>
  <sheetViews>
    <sheetView zoomScale="200" zoomScaleNormal="200" workbookViewId="0" topLeftCell="A1">
      <pane xSplit="1" topLeftCell="AI1" activePane="topRight" state="frozen"/>
      <selection pane="topLeft" activeCell="A3" sqref="A3"/>
      <selection pane="topRight" activeCell="AP1" sqref="AP1:AS16384"/>
    </sheetView>
  </sheetViews>
  <sheetFormatPr defaultColWidth="11.00390625" defaultRowHeight="12"/>
  <cols>
    <col min="1" max="1" width="28.375" style="12" customWidth="1"/>
    <col min="2" max="2" width="5.50390625" style="12" customWidth="1"/>
    <col min="3" max="8" width="4.875" style="2" customWidth="1"/>
    <col min="9" max="12" width="4.875" style="2" hidden="1" customWidth="1"/>
    <col min="13" max="13" width="4.875" style="2" customWidth="1"/>
    <col min="14" max="19" width="4.875" style="39" customWidth="1"/>
    <col min="20" max="23" width="4.875" style="39" hidden="1" customWidth="1"/>
    <col min="24" max="27" width="4.875" style="39" customWidth="1"/>
    <col min="28" max="30" width="4.875" style="2" customWidth="1"/>
    <col min="31" max="34" width="4.875" style="2" hidden="1" customWidth="1"/>
    <col min="35" max="57" width="4.875" style="2" customWidth="1"/>
    <col min="58" max="16384" width="10.875" style="2" customWidth="1"/>
  </cols>
  <sheetData>
    <row r="1" ht="12">
      <c r="A1" s="12" t="e">
        <f>Basiswerte!#REF!</f>
        <v>#REF!</v>
      </c>
    </row>
    <row r="2" ht="15" customHeight="1">
      <c r="A2" s="12" t="str">
        <f>Basiswerte!A1</f>
        <v>Budgettool zur Berechnung der Betriebskosten einer modularen Tagesstruktur</v>
      </c>
    </row>
    <row r="3" spans="1:2" ht="15">
      <c r="A3" s="43"/>
      <c r="B3" s="43"/>
    </row>
    <row r="4" spans="1:27" s="1" customFormat="1" ht="15">
      <c r="A4" s="43" t="s">
        <v>72</v>
      </c>
      <c r="B4" s="43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6" spans="1:57" ht="12">
      <c r="A6" s="100" t="s">
        <v>73</v>
      </c>
      <c r="C6" s="63" t="s">
        <v>38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63" t="s">
        <v>13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63" t="s">
        <v>14</v>
      </c>
      <c r="Z6" s="64"/>
      <c r="AA6" s="64"/>
      <c r="AB6" s="64"/>
      <c r="AC6" s="64"/>
      <c r="AD6" s="64"/>
      <c r="AE6" s="64"/>
      <c r="AF6" s="64"/>
      <c r="AG6" s="64"/>
      <c r="AH6" s="64"/>
      <c r="AI6" s="65"/>
      <c r="AJ6" s="63" t="s">
        <v>15</v>
      </c>
      <c r="AK6" s="64"/>
      <c r="AL6" s="64"/>
      <c r="AM6" s="64"/>
      <c r="AN6" s="64"/>
      <c r="AO6" s="64"/>
      <c r="AP6" s="64"/>
      <c r="AQ6" s="64"/>
      <c r="AR6" s="64"/>
      <c r="AS6" s="64"/>
      <c r="AT6" s="65"/>
      <c r="AU6" s="63" t="s">
        <v>61</v>
      </c>
      <c r="AV6" s="64"/>
      <c r="AW6" s="64"/>
      <c r="AX6" s="64"/>
      <c r="AY6" s="64"/>
      <c r="AZ6" s="64"/>
      <c r="BA6" s="64"/>
      <c r="BB6" s="64"/>
      <c r="BC6" s="64"/>
      <c r="BD6" s="64"/>
      <c r="BE6" s="65"/>
    </row>
    <row r="7" spans="1:57" s="8" customFormat="1" ht="33.75">
      <c r="A7" s="8" t="s">
        <v>10</v>
      </c>
      <c r="C7" s="76">
        <v>0.2916666666666667</v>
      </c>
      <c r="D7" s="77">
        <v>0.4895833333333333</v>
      </c>
      <c r="E7" s="77">
        <f aca="true" t="shared" si="0" ref="E7:L7">D8</f>
        <v>0.5625</v>
      </c>
      <c r="F7" s="77">
        <f t="shared" si="0"/>
        <v>0.6284722222222222</v>
      </c>
      <c r="G7" s="77">
        <f t="shared" si="0"/>
        <v>0.6701388888888888</v>
      </c>
      <c r="H7" s="77">
        <f t="shared" si="0"/>
        <v>0.7083333333333334</v>
      </c>
      <c r="I7" s="75">
        <f t="shared" si="0"/>
        <v>0.75</v>
      </c>
      <c r="J7" s="75">
        <f t="shared" si="0"/>
        <v>0.75</v>
      </c>
      <c r="K7" s="75">
        <f t="shared" si="0"/>
        <v>0.75</v>
      </c>
      <c r="L7" s="75">
        <f t="shared" si="0"/>
        <v>0.75</v>
      </c>
      <c r="M7" s="61"/>
      <c r="N7" s="76">
        <v>0.2916666666666667</v>
      </c>
      <c r="O7" s="77">
        <v>0.4895833333333333</v>
      </c>
      <c r="P7" s="77">
        <f aca="true" t="shared" si="1" ref="P7:W7">O8</f>
        <v>0.5625</v>
      </c>
      <c r="Q7" s="77">
        <f t="shared" si="1"/>
        <v>0.6284722222222222</v>
      </c>
      <c r="R7" s="77">
        <f t="shared" si="1"/>
        <v>0.6701388888888888</v>
      </c>
      <c r="S7" s="77">
        <f t="shared" si="1"/>
        <v>0.7083333333333334</v>
      </c>
      <c r="T7" s="75">
        <f t="shared" si="1"/>
        <v>0.75</v>
      </c>
      <c r="U7" s="75">
        <f t="shared" si="1"/>
        <v>0.75</v>
      </c>
      <c r="V7" s="75">
        <f t="shared" si="1"/>
        <v>0.75</v>
      </c>
      <c r="W7" s="75">
        <f t="shared" si="1"/>
        <v>0.75</v>
      </c>
      <c r="X7" s="61"/>
      <c r="Y7" s="74">
        <v>0.2916666666666667</v>
      </c>
      <c r="Z7" s="75">
        <v>0.4895833333333333</v>
      </c>
      <c r="AA7" s="75">
        <f aca="true" t="shared" si="2" ref="AA7:AH7">Z8</f>
        <v>0.5625</v>
      </c>
      <c r="AB7" s="75">
        <f t="shared" si="2"/>
        <v>0.6284722222222222</v>
      </c>
      <c r="AC7" s="75">
        <f t="shared" si="2"/>
        <v>0.6701388888888888</v>
      </c>
      <c r="AD7" s="75">
        <f t="shared" si="2"/>
        <v>0.7083333333333334</v>
      </c>
      <c r="AE7" s="75">
        <f t="shared" si="2"/>
        <v>0.75</v>
      </c>
      <c r="AF7" s="75">
        <f t="shared" si="2"/>
        <v>0.75</v>
      </c>
      <c r="AG7" s="75">
        <f t="shared" si="2"/>
        <v>0.75</v>
      </c>
      <c r="AH7" s="75">
        <f t="shared" si="2"/>
        <v>0.75</v>
      </c>
      <c r="AI7" s="61"/>
      <c r="AJ7" s="74">
        <v>0.2916666666666667</v>
      </c>
      <c r="AK7" s="75">
        <v>0.4895833333333333</v>
      </c>
      <c r="AL7" s="75">
        <f aca="true" t="shared" si="3" ref="AL7:AS7">AK8</f>
        <v>0.5625</v>
      </c>
      <c r="AM7" s="75">
        <f t="shared" si="3"/>
        <v>0.6284722222222222</v>
      </c>
      <c r="AN7" s="75">
        <f t="shared" si="3"/>
        <v>0.6701388888888888</v>
      </c>
      <c r="AO7" s="75">
        <f t="shared" si="3"/>
        <v>0.7083333333333334</v>
      </c>
      <c r="AP7" s="75">
        <f t="shared" si="3"/>
        <v>0.75</v>
      </c>
      <c r="AQ7" s="75">
        <f t="shared" si="3"/>
        <v>0.75</v>
      </c>
      <c r="AR7" s="75">
        <f t="shared" si="3"/>
        <v>0.75</v>
      </c>
      <c r="AS7" s="75">
        <f t="shared" si="3"/>
        <v>0.75</v>
      </c>
      <c r="AT7" s="61"/>
      <c r="AU7" s="74">
        <v>0.2916666666666667</v>
      </c>
      <c r="AV7" s="75">
        <v>0.4895833333333333</v>
      </c>
      <c r="AW7" s="75">
        <f aca="true" t="shared" si="4" ref="AW7:BD7">AV8</f>
        <v>0.5625</v>
      </c>
      <c r="AX7" s="75">
        <f t="shared" si="4"/>
        <v>0.6284722222222222</v>
      </c>
      <c r="AY7" s="75">
        <f t="shared" si="4"/>
        <v>0.6701388888888888</v>
      </c>
      <c r="AZ7" s="75">
        <f t="shared" si="4"/>
        <v>0.7083333333333334</v>
      </c>
      <c r="BA7" s="75">
        <f t="shared" si="4"/>
        <v>0.75</v>
      </c>
      <c r="BB7" s="75">
        <f t="shared" si="4"/>
        <v>0.75</v>
      </c>
      <c r="BC7" s="75">
        <f t="shared" si="4"/>
        <v>0.75</v>
      </c>
      <c r="BD7" s="75">
        <f t="shared" si="4"/>
        <v>0.75</v>
      </c>
      <c r="BE7" s="61"/>
    </row>
    <row r="8" spans="1:57" s="8" customFormat="1" ht="33.75">
      <c r="A8" s="8" t="s">
        <v>11</v>
      </c>
      <c r="C8" s="76">
        <v>0.3333333333333333</v>
      </c>
      <c r="D8" s="77">
        <v>0.5625</v>
      </c>
      <c r="E8" s="77">
        <v>0.6284722222222222</v>
      </c>
      <c r="F8" s="77">
        <v>0.6701388888888888</v>
      </c>
      <c r="G8" s="77">
        <v>0.7083333333333334</v>
      </c>
      <c r="H8" s="77">
        <v>0.75</v>
      </c>
      <c r="I8" s="75">
        <v>0.75</v>
      </c>
      <c r="J8" s="75">
        <v>0.75</v>
      </c>
      <c r="K8" s="75">
        <v>0.75</v>
      </c>
      <c r="L8" s="75">
        <v>0.75</v>
      </c>
      <c r="M8" s="61"/>
      <c r="N8" s="76">
        <v>0.3333333333333333</v>
      </c>
      <c r="O8" s="77">
        <v>0.5625</v>
      </c>
      <c r="P8" s="77">
        <v>0.6284722222222222</v>
      </c>
      <c r="Q8" s="77">
        <v>0.6701388888888888</v>
      </c>
      <c r="R8" s="77">
        <v>0.7083333333333334</v>
      </c>
      <c r="S8" s="77">
        <v>0.75</v>
      </c>
      <c r="T8" s="75">
        <v>0.75</v>
      </c>
      <c r="U8" s="75">
        <v>0.75</v>
      </c>
      <c r="V8" s="75">
        <v>0.75</v>
      </c>
      <c r="W8" s="75">
        <v>0.75</v>
      </c>
      <c r="X8" s="61"/>
      <c r="Y8" s="74">
        <v>0.3333333333333333</v>
      </c>
      <c r="Z8" s="75">
        <v>0.5625</v>
      </c>
      <c r="AA8" s="75">
        <v>0.6284722222222222</v>
      </c>
      <c r="AB8" s="75">
        <v>0.6701388888888888</v>
      </c>
      <c r="AC8" s="75">
        <v>0.7083333333333334</v>
      </c>
      <c r="AD8" s="75">
        <v>0.75</v>
      </c>
      <c r="AE8" s="75">
        <v>0.75</v>
      </c>
      <c r="AF8" s="75">
        <v>0.75</v>
      </c>
      <c r="AG8" s="75">
        <v>0.75</v>
      </c>
      <c r="AH8" s="75">
        <v>0.75</v>
      </c>
      <c r="AI8" s="61"/>
      <c r="AJ8" s="74">
        <v>0.3333333333333333</v>
      </c>
      <c r="AK8" s="75">
        <v>0.5625</v>
      </c>
      <c r="AL8" s="75">
        <v>0.6284722222222222</v>
      </c>
      <c r="AM8" s="75">
        <v>0.6701388888888888</v>
      </c>
      <c r="AN8" s="75">
        <v>0.7083333333333334</v>
      </c>
      <c r="AO8" s="75">
        <v>0.75</v>
      </c>
      <c r="AP8" s="75">
        <v>0.75</v>
      </c>
      <c r="AQ8" s="75">
        <v>0.75</v>
      </c>
      <c r="AR8" s="75">
        <v>0.75</v>
      </c>
      <c r="AS8" s="75">
        <v>0.75</v>
      </c>
      <c r="AT8" s="61"/>
      <c r="AU8" s="74">
        <v>0.3333333333333333</v>
      </c>
      <c r="AV8" s="75">
        <v>0.5625</v>
      </c>
      <c r="AW8" s="75">
        <v>0.6284722222222222</v>
      </c>
      <c r="AX8" s="75">
        <v>0.6701388888888888</v>
      </c>
      <c r="AY8" s="75">
        <v>0.7083333333333334</v>
      </c>
      <c r="AZ8" s="75">
        <v>0.75</v>
      </c>
      <c r="BA8" s="75">
        <v>0.75</v>
      </c>
      <c r="BB8" s="75">
        <v>0.75</v>
      </c>
      <c r="BC8" s="75">
        <v>0.75</v>
      </c>
      <c r="BD8" s="75">
        <v>0.75</v>
      </c>
      <c r="BE8" s="61"/>
    </row>
    <row r="9" s="39" customFormat="1" ht="12">
      <c r="A9" s="2"/>
    </row>
    <row r="10" spans="1:56" s="39" customFormat="1" ht="25.5" customHeight="1">
      <c r="A10" s="2" t="s">
        <v>74</v>
      </c>
      <c r="C10" s="102">
        <v>7</v>
      </c>
      <c r="D10" s="102">
        <v>20</v>
      </c>
      <c r="E10" s="102"/>
      <c r="F10" s="102"/>
      <c r="G10" s="102"/>
      <c r="H10" s="102"/>
      <c r="I10" s="102"/>
      <c r="J10" s="102"/>
      <c r="K10" s="102"/>
      <c r="L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</row>
    <row r="11" s="39" customFormat="1" ht="19.5" customHeight="1">
      <c r="A11" s="2"/>
    </row>
    <row r="12" s="39" customFormat="1" ht="19.5" customHeight="1">
      <c r="A12" s="3" t="s">
        <v>75</v>
      </c>
    </row>
    <row r="13" s="39" customFormat="1" ht="12">
      <c r="A13" s="3" t="s">
        <v>121</v>
      </c>
    </row>
    <row r="14" spans="1:56" s="39" customFormat="1" ht="12">
      <c r="A14" s="2" t="s">
        <v>125</v>
      </c>
      <c r="B14" s="103">
        <v>0.4</v>
      </c>
      <c r="C14" s="101">
        <f aca="true" t="shared" si="5" ref="C14:L14">$B14</f>
        <v>0.4</v>
      </c>
      <c r="D14" s="101">
        <f t="shared" si="5"/>
        <v>0.4</v>
      </c>
      <c r="E14" s="101">
        <f t="shared" si="5"/>
        <v>0.4</v>
      </c>
      <c r="F14" s="101">
        <f t="shared" si="5"/>
        <v>0.4</v>
      </c>
      <c r="G14" s="101">
        <f t="shared" si="5"/>
        <v>0.4</v>
      </c>
      <c r="H14" s="101">
        <f t="shared" si="5"/>
        <v>0.4</v>
      </c>
      <c r="I14" s="101">
        <f t="shared" si="5"/>
        <v>0.4</v>
      </c>
      <c r="J14" s="101">
        <f t="shared" si="5"/>
        <v>0.4</v>
      </c>
      <c r="K14" s="101">
        <f t="shared" si="5"/>
        <v>0.4</v>
      </c>
      <c r="L14" s="101">
        <f t="shared" si="5"/>
        <v>0.4</v>
      </c>
      <c r="M14" s="101"/>
      <c r="N14" s="101">
        <f aca="true" t="shared" si="6" ref="N14:W14">$B14</f>
        <v>0.4</v>
      </c>
      <c r="O14" s="101">
        <f t="shared" si="6"/>
        <v>0.4</v>
      </c>
      <c r="P14" s="101">
        <f t="shared" si="6"/>
        <v>0.4</v>
      </c>
      <c r="Q14" s="101">
        <f t="shared" si="6"/>
        <v>0.4</v>
      </c>
      <c r="R14" s="101">
        <f t="shared" si="6"/>
        <v>0.4</v>
      </c>
      <c r="S14" s="101">
        <f t="shared" si="6"/>
        <v>0.4</v>
      </c>
      <c r="T14" s="101">
        <f t="shared" si="6"/>
        <v>0.4</v>
      </c>
      <c r="U14" s="101">
        <f t="shared" si="6"/>
        <v>0.4</v>
      </c>
      <c r="V14" s="101">
        <f t="shared" si="6"/>
        <v>0.4</v>
      </c>
      <c r="W14" s="101">
        <f t="shared" si="6"/>
        <v>0.4</v>
      </c>
      <c r="X14" s="101"/>
      <c r="Y14" s="101">
        <f aca="true" t="shared" si="7" ref="Y14:AH14">$B14</f>
        <v>0.4</v>
      </c>
      <c r="Z14" s="101">
        <f t="shared" si="7"/>
        <v>0.4</v>
      </c>
      <c r="AA14" s="101">
        <f t="shared" si="7"/>
        <v>0.4</v>
      </c>
      <c r="AB14" s="101">
        <f t="shared" si="7"/>
        <v>0.4</v>
      </c>
      <c r="AC14" s="101">
        <f t="shared" si="7"/>
        <v>0.4</v>
      </c>
      <c r="AD14" s="101">
        <f t="shared" si="7"/>
        <v>0.4</v>
      </c>
      <c r="AE14" s="101">
        <f t="shared" si="7"/>
        <v>0.4</v>
      </c>
      <c r="AF14" s="101">
        <f t="shared" si="7"/>
        <v>0.4</v>
      </c>
      <c r="AG14" s="101">
        <f t="shared" si="7"/>
        <v>0.4</v>
      </c>
      <c r="AH14" s="101">
        <f t="shared" si="7"/>
        <v>0.4</v>
      </c>
      <c r="AI14" s="101"/>
      <c r="AJ14" s="101">
        <f aca="true" t="shared" si="8" ref="AJ14:AS14">$B14</f>
        <v>0.4</v>
      </c>
      <c r="AK14" s="101">
        <f t="shared" si="8"/>
        <v>0.4</v>
      </c>
      <c r="AL14" s="101">
        <f t="shared" si="8"/>
        <v>0.4</v>
      </c>
      <c r="AM14" s="101">
        <f t="shared" si="8"/>
        <v>0.4</v>
      </c>
      <c r="AN14" s="101">
        <f t="shared" si="8"/>
        <v>0.4</v>
      </c>
      <c r="AO14" s="101">
        <f t="shared" si="8"/>
        <v>0.4</v>
      </c>
      <c r="AP14" s="101">
        <f t="shared" si="8"/>
        <v>0.4</v>
      </c>
      <c r="AQ14" s="101">
        <f t="shared" si="8"/>
        <v>0.4</v>
      </c>
      <c r="AR14" s="101">
        <f t="shared" si="8"/>
        <v>0.4</v>
      </c>
      <c r="AS14" s="101">
        <f t="shared" si="8"/>
        <v>0.4</v>
      </c>
      <c r="AT14" s="101"/>
      <c r="AU14" s="101">
        <f aca="true" t="shared" si="9" ref="AU14:BD14">$B14</f>
        <v>0.4</v>
      </c>
      <c r="AV14" s="101">
        <f t="shared" si="9"/>
        <v>0.4</v>
      </c>
      <c r="AW14" s="101">
        <f t="shared" si="9"/>
        <v>0.4</v>
      </c>
      <c r="AX14" s="101">
        <f t="shared" si="9"/>
        <v>0.4</v>
      </c>
      <c r="AY14" s="101">
        <f t="shared" si="9"/>
        <v>0.4</v>
      </c>
      <c r="AZ14" s="101">
        <f t="shared" si="9"/>
        <v>0.4</v>
      </c>
      <c r="BA14" s="101">
        <f t="shared" si="9"/>
        <v>0.4</v>
      </c>
      <c r="BB14" s="101">
        <f t="shared" si="9"/>
        <v>0.4</v>
      </c>
      <c r="BC14" s="101">
        <f t="shared" si="9"/>
        <v>0.4</v>
      </c>
      <c r="BD14" s="101">
        <f t="shared" si="9"/>
        <v>0.4</v>
      </c>
    </row>
    <row r="15" spans="1:56" s="39" customFormat="1" ht="12">
      <c r="A15" s="2" t="s">
        <v>126</v>
      </c>
      <c r="C15" s="39">
        <f>ROUNDDOWN(C$10*C14,0)</f>
        <v>2</v>
      </c>
      <c r="D15" s="39">
        <f aca="true" t="shared" si="10" ref="D15:L15">ROUNDDOWN(D$10*D14,0)</f>
        <v>8</v>
      </c>
      <c r="E15" s="39">
        <f t="shared" si="10"/>
        <v>0</v>
      </c>
      <c r="F15" s="39">
        <f t="shared" si="10"/>
        <v>0</v>
      </c>
      <c r="G15" s="39">
        <f t="shared" si="10"/>
        <v>0</v>
      </c>
      <c r="H15" s="39">
        <f t="shared" si="10"/>
        <v>0</v>
      </c>
      <c r="I15" s="39">
        <f t="shared" si="10"/>
        <v>0</v>
      </c>
      <c r="J15" s="39">
        <f t="shared" si="10"/>
        <v>0</v>
      </c>
      <c r="K15" s="39">
        <f t="shared" si="10"/>
        <v>0</v>
      </c>
      <c r="L15" s="39">
        <f t="shared" si="10"/>
        <v>0</v>
      </c>
      <c r="N15" s="39">
        <f aca="true" t="shared" si="11" ref="N15:W15">ROUNDDOWN(N$10*N14,0)</f>
        <v>0</v>
      </c>
      <c r="O15" s="39">
        <f t="shared" si="11"/>
        <v>0</v>
      </c>
      <c r="P15" s="39">
        <f t="shared" si="11"/>
        <v>0</v>
      </c>
      <c r="Q15" s="39">
        <f t="shared" si="11"/>
        <v>0</v>
      </c>
      <c r="R15" s="39">
        <f t="shared" si="11"/>
        <v>0</v>
      </c>
      <c r="S15" s="39">
        <f t="shared" si="11"/>
        <v>0</v>
      </c>
      <c r="T15" s="39">
        <f t="shared" si="11"/>
        <v>0</v>
      </c>
      <c r="U15" s="39">
        <f t="shared" si="11"/>
        <v>0</v>
      </c>
      <c r="V15" s="39">
        <f t="shared" si="11"/>
        <v>0</v>
      </c>
      <c r="W15" s="39">
        <f t="shared" si="11"/>
        <v>0</v>
      </c>
      <c r="Y15" s="39">
        <f aca="true" t="shared" si="12" ref="Y15:AH15">ROUNDDOWN(Y$10*Y14,0)</f>
        <v>0</v>
      </c>
      <c r="Z15" s="39">
        <f t="shared" si="12"/>
        <v>0</v>
      </c>
      <c r="AA15" s="39">
        <f t="shared" si="12"/>
        <v>0</v>
      </c>
      <c r="AB15" s="39">
        <f t="shared" si="12"/>
        <v>0</v>
      </c>
      <c r="AC15" s="39">
        <f t="shared" si="12"/>
        <v>0</v>
      </c>
      <c r="AD15" s="39">
        <f t="shared" si="12"/>
        <v>0</v>
      </c>
      <c r="AE15" s="39">
        <f t="shared" si="12"/>
        <v>0</v>
      </c>
      <c r="AF15" s="39">
        <f t="shared" si="12"/>
        <v>0</v>
      </c>
      <c r="AG15" s="39">
        <f t="shared" si="12"/>
        <v>0</v>
      </c>
      <c r="AH15" s="39">
        <f t="shared" si="12"/>
        <v>0</v>
      </c>
      <c r="AJ15" s="39">
        <f aca="true" t="shared" si="13" ref="AJ15:AS15">ROUNDDOWN(AJ$10*AJ14,0)</f>
        <v>0</v>
      </c>
      <c r="AK15" s="39">
        <f t="shared" si="13"/>
        <v>0</v>
      </c>
      <c r="AL15" s="39">
        <f t="shared" si="13"/>
        <v>0</v>
      </c>
      <c r="AM15" s="39">
        <f t="shared" si="13"/>
        <v>0</v>
      </c>
      <c r="AN15" s="39">
        <f t="shared" si="13"/>
        <v>0</v>
      </c>
      <c r="AO15" s="39">
        <f t="shared" si="13"/>
        <v>0</v>
      </c>
      <c r="AP15" s="39">
        <f t="shared" si="13"/>
        <v>0</v>
      </c>
      <c r="AQ15" s="39">
        <f t="shared" si="13"/>
        <v>0</v>
      </c>
      <c r="AR15" s="39">
        <f t="shared" si="13"/>
        <v>0</v>
      </c>
      <c r="AS15" s="39">
        <f t="shared" si="13"/>
        <v>0</v>
      </c>
      <c r="AU15" s="39">
        <f aca="true" t="shared" si="14" ref="AU15:BD15">ROUNDDOWN(AU$10*AU14,0)</f>
        <v>0</v>
      </c>
      <c r="AV15" s="39">
        <f t="shared" si="14"/>
        <v>0</v>
      </c>
      <c r="AW15" s="39">
        <f t="shared" si="14"/>
        <v>0</v>
      </c>
      <c r="AX15" s="39">
        <f t="shared" si="14"/>
        <v>0</v>
      </c>
      <c r="AY15" s="39">
        <f t="shared" si="14"/>
        <v>0</v>
      </c>
      <c r="AZ15" s="39">
        <f t="shared" si="14"/>
        <v>0</v>
      </c>
      <c r="BA15" s="39">
        <f t="shared" si="14"/>
        <v>0</v>
      </c>
      <c r="BB15" s="39">
        <f t="shared" si="14"/>
        <v>0</v>
      </c>
      <c r="BC15" s="39">
        <f t="shared" si="14"/>
        <v>0</v>
      </c>
      <c r="BD15" s="39">
        <f t="shared" si="14"/>
        <v>0</v>
      </c>
    </row>
    <row r="16" spans="1:56" s="39" customFormat="1" ht="12">
      <c r="A16" s="2" t="s">
        <v>130</v>
      </c>
      <c r="B16" s="103">
        <v>0.7</v>
      </c>
      <c r="C16" s="101">
        <f aca="true" t="shared" si="15" ref="C16:L16">$B16</f>
        <v>0.7</v>
      </c>
      <c r="D16" s="101">
        <f t="shared" si="15"/>
        <v>0.7</v>
      </c>
      <c r="E16" s="101">
        <f t="shared" si="15"/>
        <v>0.7</v>
      </c>
      <c r="F16" s="101">
        <f t="shared" si="15"/>
        <v>0.7</v>
      </c>
      <c r="G16" s="101">
        <f t="shared" si="15"/>
        <v>0.7</v>
      </c>
      <c r="H16" s="101">
        <f t="shared" si="15"/>
        <v>0.7</v>
      </c>
      <c r="I16" s="101">
        <f t="shared" si="15"/>
        <v>0.7</v>
      </c>
      <c r="J16" s="101">
        <f t="shared" si="15"/>
        <v>0.7</v>
      </c>
      <c r="K16" s="101">
        <f t="shared" si="15"/>
        <v>0.7</v>
      </c>
      <c r="L16" s="101">
        <f t="shared" si="15"/>
        <v>0.7</v>
      </c>
      <c r="M16" s="101"/>
      <c r="N16" s="101">
        <f aca="true" t="shared" si="16" ref="N16:W16">$B16</f>
        <v>0.7</v>
      </c>
      <c r="O16" s="101">
        <f t="shared" si="16"/>
        <v>0.7</v>
      </c>
      <c r="P16" s="101">
        <f t="shared" si="16"/>
        <v>0.7</v>
      </c>
      <c r="Q16" s="101">
        <f t="shared" si="16"/>
        <v>0.7</v>
      </c>
      <c r="R16" s="101">
        <f t="shared" si="16"/>
        <v>0.7</v>
      </c>
      <c r="S16" s="101">
        <f t="shared" si="16"/>
        <v>0.7</v>
      </c>
      <c r="T16" s="101">
        <f t="shared" si="16"/>
        <v>0.7</v>
      </c>
      <c r="U16" s="101">
        <f t="shared" si="16"/>
        <v>0.7</v>
      </c>
      <c r="V16" s="101">
        <f t="shared" si="16"/>
        <v>0.7</v>
      </c>
      <c r="W16" s="101">
        <f t="shared" si="16"/>
        <v>0.7</v>
      </c>
      <c r="X16" s="101"/>
      <c r="Y16" s="101">
        <f aca="true" t="shared" si="17" ref="Y16:AH16">$B16</f>
        <v>0.7</v>
      </c>
      <c r="Z16" s="101">
        <f t="shared" si="17"/>
        <v>0.7</v>
      </c>
      <c r="AA16" s="101">
        <f t="shared" si="17"/>
        <v>0.7</v>
      </c>
      <c r="AB16" s="101">
        <f t="shared" si="17"/>
        <v>0.7</v>
      </c>
      <c r="AC16" s="101">
        <f t="shared" si="17"/>
        <v>0.7</v>
      </c>
      <c r="AD16" s="101">
        <f t="shared" si="17"/>
        <v>0.7</v>
      </c>
      <c r="AE16" s="101">
        <f t="shared" si="17"/>
        <v>0.7</v>
      </c>
      <c r="AF16" s="101">
        <f t="shared" si="17"/>
        <v>0.7</v>
      </c>
      <c r="AG16" s="101">
        <f t="shared" si="17"/>
        <v>0.7</v>
      </c>
      <c r="AH16" s="101">
        <f t="shared" si="17"/>
        <v>0.7</v>
      </c>
      <c r="AI16" s="101"/>
      <c r="AJ16" s="101">
        <f aca="true" t="shared" si="18" ref="AJ16:AS16">$B16</f>
        <v>0.7</v>
      </c>
      <c r="AK16" s="101">
        <f t="shared" si="18"/>
        <v>0.7</v>
      </c>
      <c r="AL16" s="101">
        <f t="shared" si="18"/>
        <v>0.7</v>
      </c>
      <c r="AM16" s="101">
        <f t="shared" si="18"/>
        <v>0.7</v>
      </c>
      <c r="AN16" s="101">
        <f t="shared" si="18"/>
        <v>0.7</v>
      </c>
      <c r="AO16" s="101">
        <f t="shared" si="18"/>
        <v>0.7</v>
      </c>
      <c r="AP16" s="101">
        <f t="shared" si="18"/>
        <v>0.7</v>
      </c>
      <c r="AQ16" s="101">
        <f t="shared" si="18"/>
        <v>0.7</v>
      </c>
      <c r="AR16" s="101">
        <f t="shared" si="18"/>
        <v>0.7</v>
      </c>
      <c r="AS16" s="101">
        <f t="shared" si="18"/>
        <v>0.7</v>
      </c>
      <c r="AT16" s="101"/>
      <c r="AU16" s="101">
        <f aca="true" t="shared" si="19" ref="AU16:BD16">$B16</f>
        <v>0.7</v>
      </c>
      <c r="AV16" s="101">
        <f t="shared" si="19"/>
        <v>0.7</v>
      </c>
      <c r="AW16" s="101">
        <f t="shared" si="19"/>
        <v>0.7</v>
      </c>
      <c r="AX16" s="101">
        <f t="shared" si="19"/>
        <v>0.7</v>
      </c>
      <c r="AY16" s="101">
        <f t="shared" si="19"/>
        <v>0.7</v>
      </c>
      <c r="AZ16" s="101">
        <f t="shared" si="19"/>
        <v>0.7</v>
      </c>
      <c r="BA16" s="101">
        <f t="shared" si="19"/>
        <v>0.7</v>
      </c>
      <c r="BB16" s="101">
        <f t="shared" si="19"/>
        <v>0.7</v>
      </c>
      <c r="BC16" s="101">
        <f t="shared" si="19"/>
        <v>0.7</v>
      </c>
      <c r="BD16" s="101">
        <f t="shared" si="19"/>
        <v>0.7</v>
      </c>
    </row>
    <row r="17" spans="1:56" s="39" customFormat="1" ht="12">
      <c r="A17" s="2" t="s">
        <v>128</v>
      </c>
      <c r="C17" s="39">
        <f aca="true" t="shared" si="20" ref="C17:L17">ROUNDDOWN(C$10*C16,0)</f>
        <v>4</v>
      </c>
      <c r="D17" s="39">
        <f t="shared" si="20"/>
        <v>14</v>
      </c>
      <c r="E17" s="39">
        <f t="shared" si="20"/>
        <v>0</v>
      </c>
      <c r="F17" s="39">
        <f t="shared" si="20"/>
        <v>0</v>
      </c>
      <c r="G17" s="39">
        <f t="shared" si="20"/>
        <v>0</v>
      </c>
      <c r="H17" s="39">
        <f t="shared" si="20"/>
        <v>0</v>
      </c>
      <c r="I17" s="39">
        <f t="shared" si="20"/>
        <v>0</v>
      </c>
      <c r="J17" s="39">
        <f t="shared" si="20"/>
        <v>0</v>
      </c>
      <c r="K17" s="39">
        <f t="shared" si="20"/>
        <v>0</v>
      </c>
      <c r="L17" s="39">
        <f t="shared" si="20"/>
        <v>0</v>
      </c>
      <c r="N17" s="39">
        <f aca="true" t="shared" si="21" ref="N17:W17">ROUNDDOWN(N$10*N16,0)</f>
        <v>0</v>
      </c>
      <c r="O17" s="39">
        <f t="shared" si="21"/>
        <v>0</v>
      </c>
      <c r="P17" s="39">
        <f t="shared" si="21"/>
        <v>0</v>
      </c>
      <c r="Q17" s="39">
        <f t="shared" si="21"/>
        <v>0</v>
      </c>
      <c r="R17" s="39">
        <f t="shared" si="21"/>
        <v>0</v>
      </c>
      <c r="S17" s="39">
        <f t="shared" si="21"/>
        <v>0</v>
      </c>
      <c r="T17" s="39">
        <f t="shared" si="21"/>
        <v>0</v>
      </c>
      <c r="U17" s="39">
        <f t="shared" si="21"/>
        <v>0</v>
      </c>
      <c r="V17" s="39">
        <f t="shared" si="21"/>
        <v>0</v>
      </c>
      <c r="W17" s="39">
        <f t="shared" si="21"/>
        <v>0</v>
      </c>
      <c r="Y17" s="39">
        <f aca="true" t="shared" si="22" ref="Y17:AH17">ROUNDDOWN(Y$10*Y16,0)</f>
        <v>0</v>
      </c>
      <c r="Z17" s="39">
        <f t="shared" si="22"/>
        <v>0</v>
      </c>
      <c r="AA17" s="39">
        <f t="shared" si="22"/>
        <v>0</v>
      </c>
      <c r="AB17" s="39">
        <f t="shared" si="22"/>
        <v>0</v>
      </c>
      <c r="AC17" s="39">
        <f t="shared" si="22"/>
        <v>0</v>
      </c>
      <c r="AD17" s="39">
        <f t="shared" si="22"/>
        <v>0</v>
      </c>
      <c r="AE17" s="39">
        <f t="shared" si="22"/>
        <v>0</v>
      </c>
      <c r="AF17" s="39">
        <f t="shared" si="22"/>
        <v>0</v>
      </c>
      <c r="AG17" s="39">
        <f t="shared" si="22"/>
        <v>0</v>
      </c>
      <c r="AH17" s="39">
        <f t="shared" si="22"/>
        <v>0</v>
      </c>
      <c r="AJ17" s="39">
        <f aca="true" t="shared" si="23" ref="AJ17:AS17">ROUNDDOWN(AJ$10*AJ16,0)</f>
        <v>0</v>
      </c>
      <c r="AK17" s="39">
        <f t="shared" si="23"/>
        <v>0</v>
      </c>
      <c r="AL17" s="39">
        <f t="shared" si="23"/>
        <v>0</v>
      </c>
      <c r="AM17" s="39">
        <f t="shared" si="23"/>
        <v>0</v>
      </c>
      <c r="AN17" s="39">
        <f t="shared" si="23"/>
        <v>0</v>
      </c>
      <c r="AO17" s="39">
        <f t="shared" si="23"/>
        <v>0</v>
      </c>
      <c r="AP17" s="39">
        <f t="shared" si="23"/>
        <v>0</v>
      </c>
      <c r="AQ17" s="39">
        <f t="shared" si="23"/>
        <v>0</v>
      </c>
      <c r="AR17" s="39">
        <f t="shared" si="23"/>
        <v>0</v>
      </c>
      <c r="AS17" s="39">
        <f t="shared" si="23"/>
        <v>0</v>
      </c>
      <c r="AU17" s="39">
        <f aca="true" t="shared" si="24" ref="AU17:BD17">ROUNDDOWN(AU$10*AU16,0)</f>
        <v>0</v>
      </c>
      <c r="AV17" s="39">
        <f t="shared" si="24"/>
        <v>0</v>
      </c>
      <c r="AW17" s="39">
        <f t="shared" si="24"/>
        <v>0</v>
      </c>
      <c r="AX17" s="39">
        <f t="shared" si="24"/>
        <v>0</v>
      </c>
      <c r="AY17" s="39">
        <f t="shared" si="24"/>
        <v>0</v>
      </c>
      <c r="AZ17" s="39">
        <f t="shared" si="24"/>
        <v>0</v>
      </c>
      <c r="BA17" s="39">
        <f t="shared" si="24"/>
        <v>0</v>
      </c>
      <c r="BB17" s="39">
        <f t="shared" si="24"/>
        <v>0</v>
      </c>
      <c r="BC17" s="39">
        <f t="shared" si="24"/>
        <v>0</v>
      </c>
      <c r="BD17" s="39">
        <f t="shared" si="24"/>
        <v>0</v>
      </c>
    </row>
    <row r="18" spans="1:56" s="39" customFormat="1" ht="12">
      <c r="A18" s="2" t="s">
        <v>131</v>
      </c>
      <c r="B18" s="103">
        <v>1</v>
      </c>
      <c r="C18" s="101">
        <f>$B18</f>
        <v>1</v>
      </c>
      <c r="D18" s="101">
        <f aca="true" t="shared" si="25" ref="D18:BD18">$B18</f>
        <v>1</v>
      </c>
      <c r="E18" s="101">
        <f t="shared" si="25"/>
        <v>1</v>
      </c>
      <c r="F18" s="101">
        <f t="shared" si="25"/>
        <v>1</v>
      </c>
      <c r="G18" s="101">
        <f t="shared" si="25"/>
        <v>1</v>
      </c>
      <c r="H18" s="101">
        <f t="shared" si="25"/>
        <v>1</v>
      </c>
      <c r="I18" s="101">
        <f t="shared" si="25"/>
        <v>1</v>
      </c>
      <c r="J18" s="101">
        <f t="shared" si="25"/>
        <v>1</v>
      </c>
      <c r="K18" s="101">
        <f t="shared" si="25"/>
        <v>1</v>
      </c>
      <c r="L18" s="101">
        <f t="shared" si="25"/>
        <v>1</v>
      </c>
      <c r="M18" s="101"/>
      <c r="N18" s="101">
        <f t="shared" si="25"/>
        <v>1</v>
      </c>
      <c r="O18" s="101">
        <f t="shared" si="25"/>
        <v>1</v>
      </c>
      <c r="P18" s="101">
        <f t="shared" si="25"/>
        <v>1</v>
      </c>
      <c r="Q18" s="101">
        <f t="shared" si="25"/>
        <v>1</v>
      </c>
      <c r="R18" s="101">
        <f t="shared" si="25"/>
        <v>1</v>
      </c>
      <c r="S18" s="101">
        <f t="shared" si="25"/>
        <v>1</v>
      </c>
      <c r="T18" s="101">
        <f t="shared" si="25"/>
        <v>1</v>
      </c>
      <c r="U18" s="101">
        <f t="shared" si="25"/>
        <v>1</v>
      </c>
      <c r="V18" s="101">
        <f t="shared" si="25"/>
        <v>1</v>
      </c>
      <c r="W18" s="101">
        <f t="shared" si="25"/>
        <v>1</v>
      </c>
      <c r="X18" s="101"/>
      <c r="Y18" s="101">
        <f t="shared" si="25"/>
        <v>1</v>
      </c>
      <c r="Z18" s="101">
        <f t="shared" si="25"/>
        <v>1</v>
      </c>
      <c r="AA18" s="101">
        <f t="shared" si="25"/>
        <v>1</v>
      </c>
      <c r="AB18" s="101">
        <f t="shared" si="25"/>
        <v>1</v>
      </c>
      <c r="AC18" s="101">
        <f t="shared" si="25"/>
        <v>1</v>
      </c>
      <c r="AD18" s="101">
        <f t="shared" si="25"/>
        <v>1</v>
      </c>
      <c r="AE18" s="101">
        <f t="shared" si="25"/>
        <v>1</v>
      </c>
      <c r="AF18" s="101">
        <f t="shared" si="25"/>
        <v>1</v>
      </c>
      <c r="AG18" s="101">
        <f t="shared" si="25"/>
        <v>1</v>
      </c>
      <c r="AH18" s="101">
        <f t="shared" si="25"/>
        <v>1</v>
      </c>
      <c r="AI18" s="101"/>
      <c r="AJ18" s="101">
        <f t="shared" si="25"/>
        <v>1</v>
      </c>
      <c r="AK18" s="101">
        <f t="shared" si="25"/>
        <v>1</v>
      </c>
      <c r="AL18" s="101">
        <f t="shared" si="25"/>
        <v>1</v>
      </c>
      <c r="AM18" s="101">
        <f t="shared" si="25"/>
        <v>1</v>
      </c>
      <c r="AN18" s="101">
        <f t="shared" si="25"/>
        <v>1</v>
      </c>
      <c r="AO18" s="101">
        <f t="shared" si="25"/>
        <v>1</v>
      </c>
      <c r="AP18" s="101">
        <f t="shared" si="25"/>
        <v>1</v>
      </c>
      <c r="AQ18" s="101">
        <f t="shared" si="25"/>
        <v>1</v>
      </c>
      <c r="AR18" s="101">
        <f t="shared" si="25"/>
        <v>1</v>
      </c>
      <c r="AS18" s="101">
        <f t="shared" si="25"/>
        <v>1</v>
      </c>
      <c r="AT18" s="101"/>
      <c r="AU18" s="101">
        <f t="shared" si="25"/>
        <v>1</v>
      </c>
      <c r="AV18" s="101">
        <f t="shared" si="25"/>
        <v>1</v>
      </c>
      <c r="AW18" s="101">
        <f t="shared" si="25"/>
        <v>1</v>
      </c>
      <c r="AX18" s="101">
        <f t="shared" si="25"/>
        <v>1</v>
      </c>
      <c r="AY18" s="101">
        <f t="shared" si="25"/>
        <v>1</v>
      </c>
      <c r="AZ18" s="101">
        <f t="shared" si="25"/>
        <v>1</v>
      </c>
      <c r="BA18" s="101">
        <f t="shared" si="25"/>
        <v>1</v>
      </c>
      <c r="BB18" s="101">
        <f t="shared" si="25"/>
        <v>1</v>
      </c>
      <c r="BC18" s="101">
        <f t="shared" si="25"/>
        <v>1</v>
      </c>
      <c r="BD18" s="101">
        <f t="shared" si="25"/>
        <v>1</v>
      </c>
    </row>
    <row r="19" spans="1:56" s="39" customFormat="1" ht="12">
      <c r="A19" s="2" t="s">
        <v>129</v>
      </c>
      <c r="C19" s="39">
        <f aca="true" t="shared" si="26" ref="C19:L19">ROUNDDOWN(C$10*C18,0)</f>
        <v>7</v>
      </c>
      <c r="D19" s="39">
        <f t="shared" si="26"/>
        <v>20</v>
      </c>
      <c r="E19" s="39">
        <f t="shared" si="26"/>
        <v>0</v>
      </c>
      <c r="F19" s="39">
        <f t="shared" si="26"/>
        <v>0</v>
      </c>
      <c r="G19" s="39">
        <f t="shared" si="26"/>
        <v>0</v>
      </c>
      <c r="H19" s="39">
        <f t="shared" si="26"/>
        <v>0</v>
      </c>
      <c r="I19" s="39">
        <f t="shared" si="26"/>
        <v>0</v>
      </c>
      <c r="J19" s="39">
        <f t="shared" si="26"/>
        <v>0</v>
      </c>
      <c r="K19" s="39">
        <f t="shared" si="26"/>
        <v>0</v>
      </c>
      <c r="L19" s="39">
        <f t="shared" si="26"/>
        <v>0</v>
      </c>
      <c r="N19" s="39">
        <f aca="true" t="shared" si="27" ref="N19:W19">ROUNDDOWN(N$10*N18,0)</f>
        <v>0</v>
      </c>
      <c r="O19" s="39">
        <f t="shared" si="27"/>
        <v>0</v>
      </c>
      <c r="P19" s="39">
        <f t="shared" si="27"/>
        <v>0</v>
      </c>
      <c r="Q19" s="39">
        <f t="shared" si="27"/>
        <v>0</v>
      </c>
      <c r="R19" s="39">
        <f t="shared" si="27"/>
        <v>0</v>
      </c>
      <c r="S19" s="39">
        <f t="shared" si="27"/>
        <v>0</v>
      </c>
      <c r="T19" s="39">
        <f t="shared" si="27"/>
        <v>0</v>
      </c>
      <c r="U19" s="39">
        <f t="shared" si="27"/>
        <v>0</v>
      </c>
      <c r="V19" s="39">
        <f t="shared" si="27"/>
        <v>0</v>
      </c>
      <c r="W19" s="39">
        <f t="shared" si="27"/>
        <v>0</v>
      </c>
      <c r="Y19" s="39">
        <f aca="true" t="shared" si="28" ref="Y19:AH19">ROUNDDOWN(Y$10*Y18,0)</f>
        <v>0</v>
      </c>
      <c r="Z19" s="39">
        <f t="shared" si="28"/>
        <v>0</v>
      </c>
      <c r="AA19" s="39">
        <f t="shared" si="28"/>
        <v>0</v>
      </c>
      <c r="AB19" s="39">
        <f t="shared" si="28"/>
        <v>0</v>
      </c>
      <c r="AC19" s="39">
        <f t="shared" si="28"/>
        <v>0</v>
      </c>
      <c r="AD19" s="39">
        <f t="shared" si="28"/>
        <v>0</v>
      </c>
      <c r="AE19" s="39">
        <f t="shared" si="28"/>
        <v>0</v>
      </c>
      <c r="AF19" s="39">
        <f t="shared" si="28"/>
        <v>0</v>
      </c>
      <c r="AG19" s="39">
        <f t="shared" si="28"/>
        <v>0</v>
      </c>
      <c r="AH19" s="39">
        <f t="shared" si="28"/>
        <v>0</v>
      </c>
      <c r="AJ19" s="39">
        <f aca="true" t="shared" si="29" ref="AJ19:AS19">ROUNDDOWN(AJ$10*AJ18,0)</f>
        <v>0</v>
      </c>
      <c r="AK19" s="39">
        <f t="shared" si="29"/>
        <v>0</v>
      </c>
      <c r="AL19" s="39">
        <f t="shared" si="29"/>
        <v>0</v>
      </c>
      <c r="AM19" s="39">
        <f t="shared" si="29"/>
        <v>0</v>
      </c>
      <c r="AN19" s="39">
        <f t="shared" si="29"/>
        <v>0</v>
      </c>
      <c r="AO19" s="39">
        <f t="shared" si="29"/>
        <v>0</v>
      </c>
      <c r="AP19" s="39">
        <f t="shared" si="29"/>
        <v>0</v>
      </c>
      <c r="AQ19" s="39">
        <f t="shared" si="29"/>
        <v>0</v>
      </c>
      <c r="AR19" s="39">
        <f t="shared" si="29"/>
        <v>0</v>
      </c>
      <c r="AS19" s="39">
        <f t="shared" si="29"/>
        <v>0</v>
      </c>
      <c r="AU19" s="39">
        <f aca="true" t="shared" si="30" ref="AU19:BD19">ROUNDDOWN(AU$10*AU18,0)</f>
        <v>0</v>
      </c>
      <c r="AV19" s="39">
        <f t="shared" si="30"/>
        <v>0</v>
      </c>
      <c r="AW19" s="39">
        <f t="shared" si="30"/>
        <v>0</v>
      </c>
      <c r="AX19" s="39">
        <f t="shared" si="30"/>
        <v>0</v>
      </c>
      <c r="AY19" s="39">
        <f t="shared" si="30"/>
        <v>0</v>
      </c>
      <c r="AZ19" s="39">
        <f t="shared" si="30"/>
        <v>0</v>
      </c>
      <c r="BA19" s="39">
        <f t="shared" si="30"/>
        <v>0</v>
      </c>
      <c r="BB19" s="39">
        <f t="shared" si="30"/>
        <v>0</v>
      </c>
      <c r="BC19" s="39">
        <f t="shared" si="30"/>
        <v>0</v>
      </c>
      <c r="BD19" s="39">
        <f t="shared" si="30"/>
        <v>0</v>
      </c>
    </row>
    <row r="20" s="39" customFormat="1" ht="12">
      <c r="A20" s="2"/>
    </row>
    <row r="21" s="39" customFormat="1" ht="12">
      <c r="A21" s="3" t="s">
        <v>135</v>
      </c>
    </row>
    <row r="22" s="39" customFormat="1" ht="12">
      <c r="A22" s="3"/>
    </row>
    <row r="23" s="39" customFormat="1" ht="10.5">
      <c r="A23" s="39" t="s">
        <v>4</v>
      </c>
    </row>
    <row r="24" s="39" customFormat="1" ht="10.5"/>
    <row r="25" s="39" customFormat="1" ht="10.5">
      <c r="A25" s="39" t="s">
        <v>150</v>
      </c>
    </row>
    <row r="26" s="39" customFormat="1" ht="10.5"/>
    <row r="27" s="39" customFormat="1" ht="10.5">
      <c r="A27" s="39" t="s">
        <v>78</v>
      </c>
    </row>
    <row r="28" s="39" customFormat="1" ht="10.5"/>
    <row r="29" s="39" customFormat="1" ht="10.5"/>
    <row r="30" s="39" customFormat="1" ht="10.5"/>
    <row r="31" s="39" customFormat="1" ht="10.5"/>
    <row r="32" s="39" customFormat="1" ht="10.5"/>
    <row r="33" s="39" customFormat="1" ht="10.5"/>
    <row r="34" s="39" customFormat="1" ht="10.5"/>
    <row r="35" s="39" customFormat="1" ht="10.5"/>
    <row r="36" s="39" customFormat="1" ht="10.5"/>
    <row r="37" s="39" customFormat="1" ht="10.5"/>
    <row r="38" s="39" customFormat="1" ht="10.5"/>
    <row r="39" s="39" customFormat="1" ht="10.5"/>
    <row r="40" s="39" customFormat="1" ht="10.5"/>
    <row r="41" s="39" customFormat="1" ht="10.5"/>
    <row r="42" s="39" customFormat="1" ht="10.5"/>
    <row r="43" s="39" customFormat="1" ht="10.5"/>
    <row r="44" s="39" customFormat="1" ht="10.5"/>
    <row r="45" s="39" customFormat="1" ht="10.5"/>
    <row r="46" s="39" customFormat="1" ht="10.5"/>
    <row r="47" s="39" customFormat="1" ht="10.5"/>
    <row r="48" s="39" customFormat="1" ht="10.5"/>
    <row r="49" s="39" customFormat="1" ht="10.5"/>
    <row r="50" s="39" customFormat="1" ht="10.5"/>
    <row r="51" s="39" customFormat="1" ht="10.5"/>
    <row r="52" s="39" customFormat="1" ht="10.5"/>
    <row r="53" s="39" customFormat="1" ht="10.5"/>
    <row r="54" s="39" customFormat="1" ht="10.5"/>
    <row r="55" s="39" customFormat="1" ht="10.5"/>
    <row r="56" s="39" customFormat="1" ht="10.5"/>
    <row r="57" s="39" customFormat="1" ht="10.5"/>
    <row r="58" s="39" customFormat="1" ht="10.5"/>
    <row r="59" s="39" customFormat="1" ht="10.5"/>
    <row r="60" s="39" customFormat="1" ht="10.5"/>
    <row r="61" s="39" customFormat="1" ht="10.5"/>
    <row r="62" s="39" customFormat="1" ht="10.5"/>
    <row r="63" s="39" customFormat="1" ht="10.5"/>
    <row r="64" s="39" customFormat="1" ht="10.5"/>
    <row r="65" s="39" customFormat="1" ht="10.5"/>
    <row r="66" s="39" customFormat="1" ht="10.5"/>
    <row r="67" s="39" customFormat="1" ht="10.5"/>
    <row r="68" s="39" customFormat="1" ht="10.5"/>
  </sheetData>
  <printOptions/>
  <pageMargins left="0.984251968503937" right="0.5905511811023623" top="0.7874015748031497" bottom="0.5905511811023623" header="0.5118110236220472" footer="0.5118110236220472"/>
  <pageSetup fitToHeight="1" fitToWidth="1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9"/>
  <sheetViews>
    <sheetView zoomScale="98" zoomScaleNormal="98" workbookViewId="0" topLeftCell="A42">
      <pane xSplit="1" topLeftCell="T1" activePane="topRight" state="frozen"/>
      <selection pane="topLeft" activeCell="A48" sqref="A48"/>
      <selection pane="topRight" activeCell="X48" sqref="X48"/>
    </sheetView>
  </sheetViews>
  <sheetFormatPr defaultColWidth="11.00390625" defaultRowHeight="12"/>
  <cols>
    <col min="1" max="1" width="28.375" style="12" customWidth="1"/>
    <col min="2" max="2" width="5.50390625" style="12" customWidth="1"/>
    <col min="3" max="3" width="5.50390625" style="2" customWidth="1"/>
    <col min="4" max="12" width="5.625" style="2" bestFit="1" customWidth="1"/>
    <col min="13" max="13" width="4.875" style="0" customWidth="1"/>
    <col min="14" max="14" width="6.00390625" style="39" customWidth="1"/>
    <col min="15" max="23" width="5.625" style="39" bestFit="1" customWidth="1"/>
    <col min="24" max="24" width="4.875" style="0" customWidth="1"/>
    <col min="25" max="25" width="5.625" style="39" customWidth="1"/>
    <col min="26" max="27" width="5.625" style="39" bestFit="1" customWidth="1"/>
    <col min="28" max="34" width="5.625" style="2" bestFit="1" customWidth="1"/>
    <col min="35" max="35" width="4.875" style="0" customWidth="1"/>
    <col min="36" max="36" width="5.625" style="2" customWidth="1"/>
    <col min="37" max="45" width="5.625" style="2" bestFit="1" customWidth="1"/>
    <col min="46" max="46" width="4.875" style="0" customWidth="1"/>
    <col min="47" max="47" width="5.00390625" style="2" customWidth="1"/>
    <col min="48" max="56" width="5.625" style="2" bestFit="1" customWidth="1"/>
    <col min="57" max="57" width="4.875" style="0" customWidth="1"/>
    <col min="59" max="16384" width="10.875" style="2" customWidth="1"/>
  </cols>
  <sheetData>
    <row r="1" ht="33">
      <c r="A1" s="29" t="str">
        <f>Basiswerte!A1</f>
        <v>Budgettool zur Berechnung der Betriebskosten einer modularen Tagesstruktur</v>
      </c>
    </row>
    <row r="2" ht="15" customHeight="1">
      <c r="A2" s="12" t="str">
        <f>Basiswerte!A2</f>
        <v>Variante Catering</v>
      </c>
    </row>
    <row r="3" spans="1:2" ht="15">
      <c r="A3" s="43"/>
      <c r="B3" s="43"/>
    </row>
    <row r="4" spans="1:58" s="1" customFormat="1" ht="15">
      <c r="A4" s="43" t="s">
        <v>139</v>
      </c>
      <c r="B4" s="43"/>
      <c r="M4"/>
      <c r="N4" s="39"/>
      <c r="O4" s="39"/>
      <c r="P4" s="39"/>
      <c r="Q4" s="39"/>
      <c r="R4" s="39"/>
      <c r="S4" s="39"/>
      <c r="T4" s="39"/>
      <c r="U4" s="39"/>
      <c r="V4" s="39"/>
      <c r="W4" s="39"/>
      <c r="X4"/>
      <c r="Y4" s="39"/>
      <c r="Z4" s="39"/>
      <c r="AA4" s="39"/>
      <c r="AI4"/>
      <c r="AT4"/>
      <c r="BE4"/>
      <c r="BF4"/>
    </row>
    <row r="6" spans="1:56" ht="12.75">
      <c r="A6" s="12" t="s">
        <v>50</v>
      </c>
      <c r="C6" s="63" t="s">
        <v>38</v>
      </c>
      <c r="D6" s="64"/>
      <c r="E6" s="64"/>
      <c r="F6" s="64"/>
      <c r="G6" s="64"/>
      <c r="H6" s="64"/>
      <c r="I6" s="64"/>
      <c r="J6" s="64"/>
      <c r="K6" s="64"/>
      <c r="L6" s="64"/>
      <c r="N6" s="63" t="s">
        <v>13</v>
      </c>
      <c r="O6" s="64"/>
      <c r="P6" s="64"/>
      <c r="Q6" s="64"/>
      <c r="R6" s="64"/>
      <c r="S6" s="64"/>
      <c r="T6" s="64"/>
      <c r="U6" s="64"/>
      <c r="V6" s="64"/>
      <c r="W6" s="64"/>
      <c r="Y6" s="63" t="s">
        <v>14</v>
      </c>
      <c r="Z6" s="64"/>
      <c r="AA6" s="64"/>
      <c r="AB6" s="64"/>
      <c r="AC6" s="64"/>
      <c r="AD6" s="64"/>
      <c r="AE6" s="64"/>
      <c r="AF6" s="64"/>
      <c r="AG6" s="64"/>
      <c r="AH6" s="64"/>
      <c r="AJ6" s="63" t="s">
        <v>15</v>
      </c>
      <c r="AK6" s="64"/>
      <c r="AL6" s="64"/>
      <c r="AM6" s="64"/>
      <c r="AN6" s="64"/>
      <c r="AO6" s="64"/>
      <c r="AP6" s="64"/>
      <c r="AQ6" s="64"/>
      <c r="AR6" s="64"/>
      <c r="AS6" s="64"/>
      <c r="AU6" s="63" t="s">
        <v>61</v>
      </c>
      <c r="AV6" s="64"/>
      <c r="AW6" s="64"/>
      <c r="AX6" s="64"/>
      <c r="AY6" s="64"/>
      <c r="AZ6" s="64"/>
      <c r="BA6" s="64"/>
      <c r="BB6" s="64"/>
      <c r="BC6" s="64"/>
      <c r="BD6" s="64"/>
    </row>
    <row r="7" spans="1:58" s="8" customFormat="1" ht="33.75">
      <c r="A7" s="8" t="s">
        <v>10</v>
      </c>
      <c r="C7" s="154">
        <v>0.2916666666666667</v>
      </c>
      <c r="D7" s="155">
        <v>0.4895833333333333</v>
      </c>
      <c r="E7" s="155">
        <f aca="true" t="shared" si="0" ref="E7:L7">D8</f>
        <v>0.5625</v>
      </c>
      <c r="F7" s="155">
        <f t="shared" si="0"/>
        <v>0.6284722222222222</v>
      </c>
      <c r="G7" s="155">
        <f t="shared" si="0"/>
        <v>0.6701388888888888</v>
      </c>
      <c r="H7" s="155">
        <f t="shared" si="0"/>
        <v>0.7083333333333334</v>
      </c>
      <c r="I7" s="157">
        <f t="shared" si="0"/>
        <v>0.75</v>
      </c>
      <c r="J7" s="157">
        <f t="shared" si="0"/>
        <v>0.75</v>
      </c>
      <c r="K7" s="157">
        <f t="shared" si="0"/>
        <v>0.75</v>
      </c>
      <c r="L7" s="157">
        <f t="shared" si="0"/>
        <v>0.75</v>
      </c>
      <c r="M7"/>
      <c r="N7" s="154">
        <v>0.2916666666666667</v>
      </c>
      <c r="O7" s="155">
        <v>0.4895833333333333</v>
      </c>
      <c r="P7" s="155">
        <f aca="true" t="shared" si="1" ref="P7:W7">O8</f>
        <v>0.5625</v>
      </c>
      <c r="Q7" s="155">
        <f t="shared" si="1"/>
        <v>0.6284722222222222</v>
      </c>
      <c r="R7" s="155">
        <f t="shared" si="1"/>
        <v>0.6701388888888888</v>
      </c>
      <c r="S7" s="155">
        <f t="shared" si="1"/>
        <v>0.7083333333333334</v>
      </c>
      <c r="T7" s="157">
        <f t="shared" si="1"/>
        <v>0.75</v>
      </c>
      <c r="U7" s="157">
        <f t="shared" si="1"/>
        <v>0.75</v>
      </c>
      <c r="V7" s="157">
        <f t="shared" si="1"/>
        <v>0.75</v>
      </c>
      <c r="W7" s="157">
        <f t="shared" si="1"/>
        <v>0.75</v>
      </c>
      <c r="X7"/>
      <c r="Y7" s="156">
        <v>0.2916666666666667</v>
      </c>
      <c r="Z7" s="157">
        <v>0.4895833333333333</v>
      </c>
      <c r="AA7" s="157">
        <f aca="true" t="shared" si="2" ref="AA7:AH7">Z8</f>
        <v>0.5625</v>
      </c>
      <c r="AB7" s="157">
        <f t="shared" si="2"/>
        <v>0.6284722222222222</v>
      </c>
      <c r="AC7" s="157">
        <f t="shared" si="2"/>
        <v>0.6701388888888888</v>
      </c>
      <c r="AD7" s="157">
        <f t="shared" si="2"/>
        <v>0.7083333333333334</v>
      </c>
      <c r="AE7" s="157">
        <f t="shared" si="2"/>
        <v>0.75</v>
      </c>
      <c r="AF7" s="157">
        <f t="shared" si="2"/>
        <v>0.75</v>
      </c>
      <c r="AG7" s="157">
        <f t="shared" si="2"/>
        <v>0.75</v>
      </c>
      <c r="AH7" s="157">
        <f t="shared" si="2"/>
        <v>0.75</v>
      </c>
      <c r="AI7"/>
      <c r="AJ7" s="156">
        <v>0.2916666666666667</v>
      </c>
      <c r="AK7" s="157">
        <v>0.4895833333333333</v>
      </c>
      <c r="AL7" s="157">
        <f aca="true" t="shared" si="3" ref="AL7:AS7">AK8</f>
        <v>0.5625</v>
      </c>
      <c r="AM7" s="157">
        <f t="shared" si="3"/>
        <v>0.6284722222222222</v>
      </c>
      <c r="AN7" s="157">
        <f t="shared" si="3"/>
        <v>0.6701388888888888</v>
      </c>
      <c r="AO7" s="157">
        <f t="shared" si="3"/>
        <v>0.7083333333333334</v>
      </c>
      <c r="AP7" s="157">
        <f t="shared" si="3"/>
        <v>0.75</v>
      </c>
      <c r="AQ7" s="157">
        <f t="shared" si="3"/>
        <v>0.75</v>
      </c>
      <c r="AR7" s="157">
        <f t="shared" si="3"/>
        <v>0.75</v>
      </c>
      <c r="AS7" s="157">
        <f t="shared" si="3"/>
        <v>0.75</v>
      </c>
      <c r="AT7"/>
      <c r="AU7" s="156">
        <v>0.2916666666666667</v>
      </c>
      <c r="AV7" s="157">
        <v>0.4895833333333333</v>
      </c>
      <c r="AW7" s="157">
        <f aca="true" t="shared" si="4" ref="AW7:BD7">AV8</f>
        <v>0.5625</v>
      </c>
      <c r="AX7" s="157">
        <f t="shared" si="4"/>
        <v>0.6284722222222222</v>
      </c>
      <c r="AY7" s="157">
        <f t="shared" si="4"/>
        <v>0.6701388888888888</v>
      </c>
      <c r="AZ7" s="157">
        <f t="shared" si="4"/>
        <v>0.7083333333333334</v>
      </c>
      <c r="BA7" s="157">
        <f t="shared" si="4"/>
        <v>0.75</v>
      </c>
      <c r="BB7" s="157">
        <f t="shared" si="4"/>
        <v>0.75</v>
      </c>
      <c r="BC7" s="157">
        <f t="shared" si="4"/>
        <v>0.75</v>
      </c>
      <c r="BD7" s="157">
        <f t="shared" si="4"/>
        <v>0.75</v>
      </c>
      <c r="BE7"/>
      <c r="BF7"/>
    </row>
    <row r="8" spans="1:58" s="8" customFormat="1" ht="33.75">
      <c r="A8" s="8" t="s">
        <v>11</v>
      </c>
      <c r="C8" s="154">
        <v>0.3333333333333333</v>
      </c>
      <c r="D8" s="155">
        <v>0.5625</v>
      </c>
      <c r="E8" s="155">
        <v>0.6284722222222222</v>
      </c>
      <c r="F8" s="155">
        <v>0.6701388888888888</v>
      </c>
      <c r="G8" s="155">
        <v>0.7083333333333334</v>
      </c>
      <c r="H8" s="155">
        <v>0.75</v>
      </c>
      <c r="I8" s="157">
        <v>0.75</v>
      </c>
      <c r="J8" s="157">
        <v>0.75</v>
      </c>
      <c r="K8" s="157">
        <v>0.75</v>
      </c>
      <c r="L8" s="157">
        <v>0.75</v>
      </c>
      <c r="M8"/>
      <c r="N8" s="154">
        <v>0.3333333333333333</v>
      </c>
      <c r="O8" s="155">
        <v>0.5625</v>
      </c>
      <c r="P8" s="155">
        <v>0.6284722222222222</v>
      </c>
      <c r="Q8" s="155">
        <v>0.6701388888888888</v>
      </c>
      <c r="R8" s="155">
        <v>0.7083333333333334</v>
      </c>
      <c r="S8" s="155">
        <v>0.75</v>
      </c>
      <c r="T8" s="157">
        <v>0.75</v>
      </c>
      <c r="U8" s="157">
        <v>0.75</v>
      </c>
      <c r="V8" s="157">
        <v>0.75</v>
      </c>
      <c r="W8" s="157">
        <v>0.75</v>
      </c>
      <c r="X8"/>
      <c r="Y8" s="156">
        <v>0.3333333333333333</v>
      </c>
      <c r="Z8" s="157">
        <v>0.5625</v>
      </c>
      <c r="AA8" s="157">
        <v>0.6284722222222222</v>
      </c>
      <c r="AB8" s="157">
        <v>0.6701388888888888</v>
      </c>
      <c r="AC8" s="157">
        <v>0.7083333333333334</v>
      </c>
      <c r="AD8" s="157">
        <v>0.75</v>
      </c>
      <c r="AE8" s="157">
        <v>0.75</v>
      </c>
      <c r="AF8" s="157">
        <v>0.75</v>
      </c>
      <c r="AG8" s="157">
        <v>0.75</v>
      </c>
      <c r="AH8" s="157">
        <v>0.75</v>
      </c>
      <c r="AI8"/>
      <c r="AJ8" s="156">
        <v>0.3333333333333333</v>
      </c>
      <c r="AK8" s="157">
        <v>0.5625</v>
      </c>
      <c r="AL8" s="157">
        <v>0.6284722222222222</v>
      </c>
      <c r="AM8" s="157">
        <v>0.6701388888888888</v>
      </c>
      <c r="AN8" s="157">
        <v>0.7083333333333334</v>
      </c>
      <c r="AO8" s="157">
        <v>0.75</v>
      </c>
      <c r="AP8" s="157">
        <v>0.75</v>
      </c>
      <c r="AQ8" s="157">
        <v>0.75</v>
      </c>
      <c r="AR8" s="157">
        <v>0.75</v>
      </c>
      <c r="AS8" s="157">
        <v>0.75</v>
      </c>
      <c r="AT8"/>
      <c r="AU8" s="156">
        <v>0.3333333333333333</v>
      </c>
      <c r="AV8" s="157">
        <v>0.5625</v>
      </c>
      <c r="AW8" s="157">
        <v>0.6284722222222222</v>
      </c>
      <c r="AX8" s="157">
        <v>0.6701388888888888</v>
      </c>
      <c r="AY8" s="157">
        <v>0.7083333333333334</v>
      </c>
      <c r="AZ8" s="157">
        <v>0.75</v>
      </c>
      <c r="BA8" s="157">
        <v>0.75</v>
      </c>
      <c r="BB8" s="157">
        <v>0.75</v>
      </c>
      <c r="BC8" s="157">
        <v>0.75</v>
      </c>
      <c r="BD8" s="157">
        <v>0.75</v>
      </c>
      <c r="BE8"/>
      <c r="BF8"/>
    </row>
    <row r="9" spans="1:58" s="39" customFormat="1" ht="24.75" customHeight="1">
      <c r="A9" s="2" t="s">
        <v>43</v>
      </c>
      <c r="C9" s="292">
        <v>12</v>
      </c>
      <c r="D9" s="293">
        <v>32</v>
      </c>
      <c r="E9" s="293">
        <v>9</v>
      </c>
      <c r="F9" s="293">
        <v>36</v>
      </c>
      <c r="G9" s="293">
        <v>36</v>
      </c>
      <c r="H9" s="293">
        <v>24</v>
      </c>
      <c r="I9" s="293"/>
      <c r="J9" s="293"/>
      <c r="K9" s="293"/>
      <c r="L9" s="293"/>
      <c r="M9"/>
      <c r="N9" s="292">
        <v>16</v>
      </c>
      <c r="O9" s="293">
        <v>40</v>
      </c>
      <c r="P9" s="293">
        <v>14</v>
      </c>
      <c r="Q9" s="293">
        <v>36</v>
      </c>
      <c r="R9" s="293">
        <v>36</v>
      </c>
      <c r="S9" s="293">
        <v>21</v>
      </c>
      <c r="T9" s="293"/>
      <c r="U9" s="293"/>
      <c r="V9" s="293"/>
      <c r="W9" s="293"/>
      <c r="X9"/>
      <c r="Y9" s="292">
        <v>10</v>
      </c>
      <c r="Z9" s="293">
        <v>13</v>
      </c>
      <c r="AA9" s="293">
        <v>4</v>
      </c>
      <c r="AB9" s="293">
        <v>13</v>
      </c>
      <c r="AC9" s="293">
        <v>13</v>
      </c>
      <c r="AD9" s="293">
        <v>9</v>
      </c>
      <c r="AE9" s="293"/>
      <c r="AF9" s="293"/>
      <c r="AG9" s="293"/>
      <c r="AH9" s="293"/>
      <c r="AI9"/>
      <c r="AJ9" s="292">
        <v>8</v>
      </c>
      <c r="AK9" s="293">
        <v>29</v>
      </c>
      <c r="AL9" s="293">
        <v>7</v>
      </c>
      <c r="AM9" s="293">
        <v>25</v>
      </c>
      <c r="AN9" s="293">
        <v>25</v>
      </c>
      <c r="AO9" s="293">
        <v>17</v>
      </c>
      <c r="AP9" s="293"/>
      <c r="AQ9" s="293"/>
      <c r="AR9" s="293"/>
      <c r="AS9" s="293"/>
      <c r="AT9"/>
      <c r="AU9" s="292">
        <v>5</v>
      </c>
      <c r="AV9" s="293">
        <v>18</v>
      </c>
      <c r="AW9" s="293">
        <v>4</v>
      </c>
      <c r="AX9" s="293">
        <v>14</v>
      </c>
      <c r="AY9" s="293">
        <v>14</v>
      </c>
      <c r="AZ9" s="293">
        <v>8</v>
      </c>
      <c r="BA9" s="294"/>
      <c r="BB9" s="294"/>
      <c r="BC9" s="294"/>
      <c r="BD9" s="294"/>
      <c r="BE9"/>
      <c r="BF9"/>
    </row>
    <row r="10" spans="1:58" s="39" customFormat="1" ht="12.75">
      <c r="A10" s="2"/>
      <c r="M10"/>
      <c r="X10"/>
      <c r="AI10"/>
      <c r="AT10"/>
      <c r="BE10"/>
      <c r="BF10"/>
    </row>
    <row r="11" spans="1:58" s="39" customFormat="1" ht="12.75">
      <c r="A11" s="3" t="s">
        <v>178</v>
      </c>
      <c r="M11"/>
      <c r="X11"/>
      <c r="AI11"/>
      <c r="AT11"/>
      <c r="BE11"/>
      <c r="BF11"/>
    </row>
    <row r="12" spans="1:58" s="39" customFormat="1" ht="12.75">
      <c r="A12" s="2" t="s">
        <v>125</v>
      </c>
      <c r="B12" s="158">
        <v>0.4</v>
      </c>
      <c r="C12" s="103">
        <f>$B12</f>
        <v>0.4</v>
      </c>
      <c r="D12" s="103">
        <f aca="true" t="shared" si="5" ref="D12:BA16">$B12</f>
        <v>0.4</v>
      </c>
      <c r="E12" s="103">
        <f t="shared" si="5"/>
        <v>0.4</v>
      </c>
      <c r="F12" s="103">
        <f t="shared" si="5"/>
        <v>0.4</v>
      </c>
      <c r="G12" s="103">
        <f t="shared" si="5"/>
        <v>0.4</v>
      </c>
      <c r="H12" s="103">
        <f t="shared" si="5"/>
        <v>0.4</v>
      </c>
      <c r="I12" s="103">
        <f t="shared" si="5"/>
        <v>0.4</v>
      </c>
      <c r="J12" s="103">
        <f t="shared" si="5"/>
        <v>0.4</v>
      </c>
      <c r="K12" s="103">
        <f t="shared" si="5"/>
        <v>0.4</v>
      </c>
      <c r="L12" s="103">
        <f t="shared" si="5"/>
        <v>0.4</v>
      </c>
      <c r="M12"/>
      <c r="N12" s="103">
        <f t="shared" si="5"/>
        <v>0.4</v>
      </c>
      <c r="O12" s="103">
        <f t="shared" si="5"/>
        <v>0.4</v>
      </c>
      <c r="P12" s="103">
        <f t="shared" si="5"/>
        <v>0.4</v>
      </c>
      <c r="Q12" s="103">
        <f t="shared" si="5"/>
        <v>0.4</v>
      </c>
      <c r="R12" s="103">
        <f t="shared" si="5"/>
        <v>0.4</v>
      </c>
      <c r="S12" s="103">
        <f t="shared" si="5"/>
        <v>0.4</v>
      </c>
      <c r="T12" s="103">
        <f t="shared" si="5"/>
        <v>0.4</v>
      </c>
      <c r="U12" s="103">
        <f t="shared" si="5"/>
        <v>0.4</v>
      </c>
      <c r="V12" s="103">
        <f t="shared" si="5"/>
        <v>0.4</v>
      </c>
      <c r="W12" s="103">
        <f t="shared" si="5"/>
        <v>0.4</v>
      </c>
      <c r="X12"/>
      <c r="Y12" s="103">
        <f t="shared" si="5"/>
        <v>0.4</v>
      </c>
      <c r="Z12" s="103">
        <f t="shared" si="5"/>
        <v>0.4</v>
      </c>
      <c r="AA12" s="103">
        <f t="shared" si="5"/>
        <v>0.4</v>
      </c>
      <c r="AB12" s="103">
        <f t="shared" si="5"/>
        <v>0.4</v>
      </c>
      <c r="AC12" s="103">
        <f t="shared" si="5"/>
        <v>0.4</v>
      </c>
      <c r="AD12" s="103">
        <f t="shared" si="5"/>
        <v>0.4</v>
      </c>
      <c r="AE12" s="103">
        <f t="shared" si="5"/>
        <v>0.4</v>
      </c>
      <c r="AF12" s="103">
        <f t="shared" si="5"/>
        <v>0.4</v>
      </c>
      <c r="AG12" s="103">
        <f t="shared" si="5"/>
        <v>0.4</v>
      </c>
      <c r="AH12" s="103">
        <f t="shared" si="5"/>
        <v>0.4</v>
      </c>
      <c r="AI12"/>
      <c r="AJ12" s="103">
        <f t="shared" si="5"/>
        <v>0.4</v>
      </c>
      <c r="AK12" s="103">
        <f t="shared" si="5"/>
        <v>0.4</v>
      </c>
      <c r="AL12" s="103">
        <f t="shared" si="5"/>
        <v>0.4</v>
      </c>
      <c r="AM12" s="103">
        <f t="shared" si="5"/>
        <v>0.4</v>
      </c>
      <c r="AN12" s="103">
        <f t="shared" si="5"/>
        <v>0.4</v>
      </c>
      <c r="AO12" s="103">
        <f t="shared" si="5"/>
        <v>0.4</v>
      </c>
      <c r="AP12" s="103">
        <f t="shared" si="5"/>
        <v>0.4</v>
      </c>
      <c r="AQ12" s="103">
        <f t="shared" si="5"/>
        <v>0.4</v>
      </c>
      <c r="AR12" s="103">
        <f t="shared" si="5"/>
        <v>0.4</v>
      </c>
      <c r="AS12" s="103">
        <f t="shared" si="5"/>
        <v>0.4</v>
      </c>
      <c r="AT12"/>
      <c r="AU12" s="103">
        <f t="shared" si="5"/>
        <v>0.4</v>
      </c>
      <c r="AV12" s="103">
        <f t="shared" si="5"/>
        <v>0.4</v>
      </c>
      <c r="AW12" s="103">
        <f t="shared" si="5"/>
        <v>0.4</v>
      </c>
      <c r="AX12" s="103">
        <f t="shared" si="5"/>
        <v>0.4</v>
      </c>
      <c r="AY12" s="103">
        <f t="shared" si="5"/>
        <v>0.4</v>
      </c>
      <c r="AZ12" s="103">
        <f t="shared" si="5"/>
        <v>0.4</v>
      </c>
      <c r="BA12" s="103">
        <f t="shared" si="5"/>
        <v>0.4</v>
      </c>
      <c r="BB12" s="103">
        <f>$B12</f>
        <v>0.4</v>
      </c>
      <c r="BC12" s="103">
        <f>$B12</f>
        <v>0.4</v>
      </c>
      <c r="BD12" s="103">
        <f>$B12</f>
        <v>0.4</v>
      </c>
      <c r="BE12"/>
      <c r="BF12"/>
    </row>
    <row r="13" spans="1:58" s="39" customFormat="1" ht="12.75">
      <c r="A13" s="2" t="s">
        <v>126</v>
      </c>
      <c r="C13" s="102">
        <f>ROUNDDOWN(C$9*C12,0)</f>
        <v>4</v>
      </c>
      <c r="D13" s="102">
        <f aca="true" t="shared" si="6" ref="D13:BD13">ROUNDDOWN(D$9*D12,0)</f>
        <v>12</v>
      </c>
      <c r="E13" s="102">
        <f t="shared" si="6"/>
        <v>3</v>
      </c>
      <c r="F13" s="102">
        <f t="shared" si="6"/>
        <v>14</v>
      </c>
      <c r="G13" s="102">
        <f t="shared" si="6"/>
        <v>14</v>
      </c>
      <c r="H13" s="102">
        <f t="shared" si="6"/>
        <v>9</v>
      </c>
      <c r="I13" s="102">
        <f t="shared" si="6"/>
        <v>0</v>
      </c>
      <c r="J13" s="102">
        <f t="shared" si="6"/>
        <v>0</v>
      </c>
      <c r="K13" s="102">
        <f t="shared" si="6"/>
        <v>0</v>
      </c>
      <c r="L13" s="102">
        <f t="shared" si="6"/>
        <v>0</v>
      </c>
      <c r="M13"/>
      <c r="N13" s="102">
        <f t="shared" si="6"/>
        <v>6</v>
      </c>
      <c r="O13" s="102">
        <f t="shared" si="6"/>
        <v>16</v>
      </c>
      <c r="P13" s="102">
        <f t="shared" si="6"/>
        <v>5</v>
      </c>
      <c r="Q13" s="102">
        <f t="shared" si="6"/>
        <v>14</v>
      </c>
      <c r="R13" s="102">
        <f t="shared" si="6"/>
        <v>14</v>
      </c>
      <c r="S13" s="102">
        <f t="shared" si="6"/>
        <v>8</v>
      </c>
      <c r="T13" s="102">
        <f t="shared" si="6"/>
        <v>0</v>
      </c>
      <c r="U13" s="102">
        <f t="shared" si="6"/>
        <v>0</v>
      </c>
      <c r="V13" s="102">
        <f t="shared" si="6"/>
        <v>0</v>
      </c>
      <c r="W13" s="102">
        <f t="shared" si="6"/>
        <v>0</v>
      </c>
      <c r="X13"/>
      <c r="Y13" s="102">
        <f t="shared" si="6"/>
        <v>4</v>
      </c>
      <c r="Z13" s="102">
        <f t="shared" si="6"/>
        <v>5</v>
      </c>
      <c r="AA13" s="102">
        <f t="shared" si="6"/>
        <v>1</v>
      </c>
      <c r="AB13" s="102">
        <f t="shared" si="6"/>
        <v>5</v>
      </c>
      <c r="AC13" s="102">
        <f t="shared" si="6"/>
        <v>5</v>
      </c>
      <c r="AD13" s="102">
        <f t="shared" si="6"/>
        <v>3</v>
      </c>
      <c r="AE13" s="102">
        <f t="shared" si="6"/>
        <v>0</v>
      </c>
      <c r="AF13" s="102">
        <f t="shared" si="6"/>
        <v>0</v>
      </c>
      <c r="AG13" s="102">
        <f t="shared" si="6"/>
        <v>0</v>
      </c>
      <c r="AH13" s="102">
        <f t="shared" si="6"/>
        <v>0</v>
      </c>
      <c r="AI13"/>
      <c r="AJ13" s="102">
        <f t="shared" si="6"/>
        <v>3</v>
      </c>
      <c r="AK13" s="102">
        <f t="shared" si="6"/>
        <v>11</v>
      </c>
      <c r="AL13" s="102">
        <f t="shared" si="6"/>
        <v>2</v>
      </c>
      <c r="AM13" s="102">
        <f t="shared" si="6"/>
        <v>10</v>
      </c>
      <c r="AN13" s="102">
        <f t="shared" si="6"/>
        <v>10</v>
      </c>
      <c r="AO13" s="102">
        <f t="shared" si="6"/>
        <v>6</v>
      </c>
      <c r="AP13" s="102">
        <f t="shared" si="6"/>
        <v>0</v>
      </c>
      <c r="AQ13" s="102">
        <f t="shared" si="6"/>
        <v>0</v>
      </c>
      <c r="AR13" s="102">
        <f t="shared" si="6"/>
        <v>0</v>
      </c>
      <c r="AS13" s="102">
        <f t="shared" si="6"/>
        <v>0</v>
      </c>
      <c r="AT13"/>
      <c r="AU13" s="102">
        <f t="shared" si="6"/>
        <v>2</v>
      </c>
      <c r="AV13" s="102">
        <f t="shared" si="6"/>
        <v>7</v>
      </c>
      <c r="AW13" s="102">
        <f t="shared" si="6"/>
        <v>1</v>
      </c>
      <c r="AX13" s="102">
        <f t="shared" si="6"/>
        <v>5</v>
      </c>
      <c r="AY13" s="102">
        <f t="shared" si="6"/>
        <v>5</v>
      </c>
      <c r="AZ13" s="102">
        <f t="shared" si="6"/>
        <v>3</v>
      </c>
      <c r="BA13" s="102">
        <f t="shared" si="6"/>
        <v>0</v>
      </c>
      <c r="BB13" s="102">
        <f t="shared" si="6"/>
        <v>0</v>
      </c>
      <c r="BC13" s="102">
        <f t="shared" si="6"/>
        <v>0</v>
      </c>
      <c r="BD13" s="102">
        <f t="shared" si="6"/>
        <v>0</v>
      </c>
      <c r="BE13"/>
      <c r="BF13"/>
    </row>
    <row r="14" spans="1:58" s="39" customFormat="1" ht="12.75">
      <c r="A14" s="2" t="s">
        <v>130</v>
      </c>
      <c r="B14" s="158">
        <v>0.7</v>
      </c>
      <c r="C14" s="103">
        <f>$B14</f>
        <v>0.7</v>
      </c>
      <c r="D14" s="103">
        <f t="shared" si="5"/>
        <v>0.7</v>
      </c>
      <c r="E14" s="103">
        <f t="shared" si="5"/>
        <v>0.7</v>
      </c>
      <c r="F14" s="103">
        <f t="shared" si="5"/>
        <v>0.7</v>
      </c>
      <c r="G14" s="103">
        <f t="shared" si="5"/>
        <v>0.7</v>
      </c>
      <c r="H14" s="103">
        <f t="shared" si="5"/>
        <v>0.7</v>
      </c>
      <c r="I14" s="103">
        <f t="shared" si="5"/>
        <v>0.7</v>
      </c>
      <c r="J14" s="103">
        <f t="shared" si="5"/>
        <v>0.7</v>
      </c>
      <c r="K14" s="103">
        <f t="shared" si="5"/>
        <v>0.7</v>
      </c>
      <c r="L14" s="103">
        <f t="shared" si="5"/>
        <v>0.7</v>
      </c>
      <c r="M14"/>
      <c r="N14" s="103">
        <f t="shared" si="5"/>
        <v>0.7</v>
      </c>
      <c r="O14" s="103">
        <f t="shared" si="5"/>
        <v>0.7</v>
      </c>
      <c r="P14" s="103">
        <f t="shared" si="5"/>
        <v>0.7</v>
      </c>
      <c r="Q14" s="103">
        <f t="shared" si="5"/>
        <v>0.7</v>
      </c>
      <c r="R14" s="103">
        <f t="shared" si="5"/>
        <v>0.7</v>
      </c>
      <c r="S14" s="103">
        <f t="shared" si="5"/>
        <v>0.7</v>
      </c>
      <c r="T14" s="103">
        <f t="shared" si="5"/>
        <v>0.7</v>
      </c>
      <c r="U14" s="103">
        <f t="shared" si="5"/>
        <v>0.7</v>
      </c>
      <c r="V14" s="103">
        <f t="shared" si="5"/>
        <v>0.7</v>
      </c>
      <c r="W14" s="103">
        <f t="shared" si="5"/>
        <v>0.7</v>
      </c>
      <c r="X14"/>
      <c r="Y14" s="103">
        <f t="shared" si="5"/>
        <v>0.7</v>
      </c>
      <c r="Z14" s="103">
        <f t="shared" si="5"/>
        <v>0.7</v>
      </c>
      <c r="AA14" s="103">
        <f t="shared" si="5"/>
        <v>0.7</v>
      </c>
      <c r="AB14" s="103">
        <f t="shared" si="5"/>
        <v>0.7</v>
      </c>
      <c r="AC14" s="103">
        <f t="shared" si="5"/>
        <v>0.7</v>
      </c>
      <c r="AD14" s="103">
        <f t="shared" si="5"/>
        <v>0.7</v>
      </c>
      <c r="AE14" s="103">
        <f t="shared" si="5"/>
        <v>0.7</v>
      </c>
      <c r="AF14" s="103">
        <f t="shared" si="5"/>
        <v>0.7</v>
      </c>
      <c r="AG14" s="103">
        <f t="shared" si="5"/>
        <v>0.7</v>
      </c>
      <c r="AH14" s="103">
        <f t="shared" si="5"/>
        <v>0.7</v>
      </c>
      <c r="AI14"/>
      <c r="AJ14" s="103">
        <f t="shared" si="5"/>
        <v>0.7</v>
      </c>
      <c r="AK14" s="103">
        <f t="shared" si="5"/>
        <v>0.7</v>
      </c>
      <c r="AL14" s="103">
        <f t="shared" si="5"/>
        <v>0.7</v>
      </c>
      <c r="AM14" s="103">
        <f t="shared" si="5"/>
        <v>0.7</v>
      </c>
      <c r="AN14" s="103">
        <f t="shared" si="5"/>
        <v>0.7</v>
      </c>
      <c r="AO14" s="103">
        <f t="shared" si="5"/>
        <v>0.7</v>
      </c>
      <c r="AP14" s="103">
        <f t="shared" si="5"/>
        <v>0.7</v>
      </c>
      <c r="AQ14" s="103">
        <f t="shared" si="5"/>
        <v>0.7</v>
      </c>
      <c r="AR14" s="103">
        <f t="shared" si="5"/>
        <v>0.7</v>
      </c>
      <c r="AS14" s="103">
        <f t="shared" si="5"/>
        <v>0.7</v>
      </c>
      <c r="AT14"/>
      <c r="AU14" s="103">
        <f t="shared" si="5"/>
        <v>0.7</v>
      </c>
      <c r="AV14" s="103">
        <f t="shared" si="5"/>
        <v>0.7</v>
      </c>
      <c r="AW14" s="103">
        <f t="shared" si="5"/>
        <v>0.7</v>
      </c>
      <c r="AX14" s="103">
        <f t="shared" si="5"/>
        <v>0.7</v>
      </c>
      <c r="AY14" s="103">
        <f t="shared" si="5"/>
        <v>0.7</v>
      </c>
      <c r="AZ14" s="103">
        <f t="shared" si="5"/>
        <v>0.7</v>
      </c>
      <c r="BA14" s="103">
        <f t="shared" si="5"/>
        <v>0.7</v>
      </c>
      <c r="BB14" s="103">
        <f>$B14</f>
        <v>0.7</v>
      </c>
      <c r="BC14" s="103">
        <f>$B14</f>
        <v>0.7</v>
      </c>
      <c r="BD14" s="103">
        <f>$B14</f>
        <v>0.7</v>
      </c>
      <c r="BE14"/>
      <c r="BF14"/>
    </row>
    <row r="15" spans="1:58" s="39" customFormat="1" ht="12.75">
      <c r="A15" s="2" t="s">
        <v>128</v>
      </c>
      <c r="C15" s="102">
        <f aca="true" t="shared" si="7" ref="C15:AH15">ROUNDDOWN(C$9*C14,0)</f>
        <v>8</v>
      </c>
      <c r="D15" s="102">
        <f t="shared" si="7"/>
        <v>22</v>
      </c>
      <c r="E15" s="102">
        <f t="shared" si="7"/>
        <v>6</v>
      </c>
      <c r="F15" s="102">
        <f t="shared" si="7"/>
        <v>25</v>
      </c>
      <c r="G15" s="102">
        <f t="shared" si="7"/>
        <v>25</v>
      </c>
      <c r="H15" s="102">
        <f t="shared" si="7"/>
        <v>16</v>
      </c>
      <c r="I15" s="102">
        <f t="shared" si="7"/>
        <v>0</v>
      </c>
      <c r="J15" s="102">
        <f t="shared" si="7"/>
        <v>0</v>
      </c>
      <c r="K15" s="102">
        <f t="shared" si="7"/>
        <v>0</v>
      </c>
      <c r="L15" s="102">
        <f t="shared" si="7"/>
        <v>0</v>
      </c>
      <c r="M15"/>
      <c r="N15" s="102">
        <f t="shared" si="7"/>
        <v>11</v>
      </c>
      <c r="O15" s="102">
        <f t="shared" si="7"/>
        <v>28</v>
      </c>
      <c r="P15" s="102">
        <f t="shared" si="7"/>
        <v>9</v>
      </c>
      <c r="Q15" s="102">
        <f t="shared" si="7"/>
        <v>25</v>
      </c>
      <c r="R15" s="102">
        <f t="shared" si="7"/>
        <v>25</v>
      </c>
      <c r="S15" s="102">
        <f t="shared" si="7"/>
        <v>14</v>
      </c>
      <c r="T15" s="102">
        <f t="shared" si="7"/>
        <v>0</v>
      </c>
      <c r="U15" s="102">
        <f t="shared" si="7"/>
        <v>0</v>
      </c>
      <c r="V15" s="102">
        <f t="shared" si="7"/>
        <v>0</v>
      </c>
      <c r="W15" s="102">
        <f t="shared" si="7"/>
        <v>0</v>
      </c>
      <c r="X15"/>
      <c r="Y15" s="102">
        <f t="shared" si="7"/>
        <v>7</v>
      </c>
      <c r="Z15" s="102">
        <f t="shared" si="7"/>
        <v>9</v>
      </c>
      <c r="AA15" s="102">
        <f t="shared" si="7"/>
        <v>2</v>
      </c>
      <c r="AB15" s="102">
        <f t="shared" si="7"/>
        <v>9</v>
      </c>
      <c r="AC15" s="102">
        <f t="shared" si="7"/>
        <v>9</v>
      </c>
      <c r="AD15" s="102">
        <f t="shared" si="7"/>
        <v>6</v>
      </c>
      <c r="AE15" s="102">
        <f t="shared" si="7"/>
        <v>0</v>
      </c>
      <c r="AF15" s="102">
        <f t="shared" si="7"/>
        <v>0</v>
      </c>
      <c r="AG15" s="102">
        <f t="shared" si="7"/>
        <v>0</v>
      </c>
      <c r="AH15" s="102">
        <f t="shared" si="7"/>
        <v>0</v>
      </c>
      <c r="AI15"/>
      <c r="AJ15" s="102">
        <f aca="true" t="shared" si="8" ref="AJ15:BD15">ROUNDDOWN(AJ$9*AJ14,0)</f>
        <v>5</v>
      </c>
      <c r="AK15" s="102">
        <f t="shared" si="8"/>
        <v>20</v>
      </c>
      <c r="AL15" s="102">
        <f t="shared" si="8"/>
        <v>4</v>
      </c>
      <c r="AM15" s="102">
        <f t="shared" si="8"/>
        <v>17</v>
      </c>
      <c r="AN15" s="102">
        <f t="shared" si="8"/>
        <v>17</v>
      </c>
      <c r="AO15" s="102">
        <f t="shared" si="8"/>
        <v>11</v>
      </c>
      <c r="AP15" s="102">
        <f t="shared" si="8"/>
        <v>0</v>
      </c>
      <c r="AQ15" s="102">
        <f t="shared" si="8"/>
        <v>0</v>
      </c>
      <c r="AR15" s="102">
        <f t="shared" si="8"/>
        <v>0</v>
      </c>
      <c r="AS15" s="102">
        <f t="shared" si="8"/>
        <v>0</v>
      </c>
      <c r="AT15"/>
      <c r="AU15" s="102">
        <f t="shared" si="8"/>
        <v>3</v>
      </c>
      <c r="AV15" s="102">
        <f t="shared" si="8"/>
        <v>12</v>
      </c>
      <c r="AW15" s="102">
        <f t="shared" si="8"/>
        <v>2</v>
      </c>
      <c r="AX15" s="102">
        <f t="shared" si="8"/>
        <v>9</v>
      </c>
      <c r="AY15" s="102">
        <f t="shared" si="8"/>
        <v>9</v>
      </c>
      <c r="AZ15" s="102">
        <f t="shared" si="8"/>
        <v>5</v>
      </c>
      <c r="BA15" s="102">
        <f t="shared" si="8"/>
        <v>0</v>
      </c>
      <c r="BB15" s="102">
        <f t="shared" si="8"/>
        <v>0</v>
      </c>
      <c r="BC15" s="102">
        <f t="shared" si="8"/>
        <v>0</v>
      </c>
      <c r="BD15" s="102">
        <f t="shared" si="8"/>
        <v>0</v>
      </c>
      <c r="BE15"/>
      <c r="BF15"/>
    </row>
    <row r="16" spans="1:58" s="39" customFormat="1" ht="12.75">
      <c r="A16" s="2" t="s">
        <v>131</v>
      </c>
      <c r="B16" s="158">
        <v>1</v>
      </c>
      <c r="C16" s="103">
        <f>$B16</f>
        <v>1</v>
      </c>
      <c r="D16" s="103">
        <f t="shared" si="5"/>
        <v>1</v>
      </c>
      <c r="E16" s="103">
        <f t="shared" si="5"/>
        <v>1</v>
      </c>
      <c r="F16" s="103">
        <f t="shared" si="5"/>
        <v>1</v>
      </c>
      <c r="G16" s="103">
        <f t="shared" si="5"/>
        <v>1</v>
      </c>
      <c r="H16" s="103">
        <f t="shared" si="5"/>
        <v>1</v>
      </c>
      <c r="I16" s="103">
        <f t="shared" si="5"/>
        <v>1</v>
      </c>
      <c r="J16" s="103">
        <f t="shared" si="5"/>
        <v>1</v>
      </c>
      <c r="K16" s="103">
        <f t="shared" si="5"/>
        <v>1</v>
      </c>
      <c r="L16" s="103">
        <f t="shared" si="5"/>
        <v>1</v>
      </c>
      <c r="M16"/>
      <c r="N16" s="103">
        <f t="shared" si="5"/>
        <v>1</v>
      </c>
      <c r="O16" s="103">
        <f t="shared" si="5"/>
        <v>1</v>
      </c>
      <c r="P16" s="103">
        <f t="shared" si="5"/>
        <v>1</v>
      </c>
      <c r="Q16" s="103">
        <f t="shared" si="5"/>
        <v>1</v>
      </c>
      <c r="R16" s="103">
        <f t="shared" si="5"/>
        <v>1</v>
      </c>
      <c r="S16" s="103">
        <f t="shared" si="5"/>
        <v>1</v>
      </c>
      <c r="T16" s="103">
        <f t="shared" si="5"/>
        <v>1</v>
      </c>
      <c r="U16" s="103">
        <f t="shared" si="5"/>
        <v>1</v>
      </c>
      <c r="V16" s="103">
        <f t="shared" si="5"/>
        <v>1</v>
      </c>
      <c r="W16" s="103">
        <f t="shared" si="5"/>
        <v>1</v>
      </c>
      <c r="X16"/>
      <c r="Y16" s="103">
        <f t="shared" si="5"/>
        <v>1</v>
      </c>
      <c r="Z16" s="103">
        <f t="shared" si="5"/>
        <v>1</v>
      </c>
      <c r="AA16" s="103">
        <f t="shared" si="5"/>
        <v>1</v>
      </c>
      <c r="AB16" s="103">
        <f t="shared" si="5"/>
        <v>1</v>
      </c>
      <c r="AC16" s="103">
        <f t="shared" si="5"/>
        <v>1</v>
      </c>
      <c r="AD16" s="103">
        <f t="shared" si="5"/>
        <v>1</v>
      </c>
      <c r="AE16" s="103">
        <f t="shared" si="5"/>
        <v>1</v>
      </c>
      <c r="AF16" s="103">
        <f t="shared" si="5"/>
        <v>1</v>
      </c>
      <c r="AG16" s="103">
        <f t="shared" si="5"/>
        <v>1</v>
      </c>
      <c r="AH16" s="103">
        <f t="shared" si="5"/>
        <v>1</v>
      </c>
      <c r="AI16"/>
      <c r="AJ16" s="103">
        <f t="shared" si="5"/>
        <v>1</v>
      </c>
      <c r="AK16" s="103">
        <f t="shared" si="5"/>
        <v>1</v>
      </c>
      <c r="AL16" s="103">
        <f t="shared" si="5"/>
        <v>1</v>
      </c>
      <c r="AM16" s="103">
        <f t="shared" si="5"/>
        <v>1</v>
      </c>
      <c r="AN16" s="103">
        <f t="shared" si="5"/>
        <v>1</v>
      </c>
      <c r="AO16" s="103">
        <f t="shared" si="5"/>
        <v>1</v>
      </c>
      <c r="AP16" s="103">
        <f t="shared" si="5"/>
        <v>1</v>
      </c>
      <c r="AQ16" s="103">
        <f t="shared" si="5"/>
        <v>1</v>
      </c>
      <c r="AR16" s="103">
        <f t="shared" si="5"/>
        <v>1</v>
      </c>
      <c r="AS16" s="103">
        <f t="shared" si="5"/>
        <v>1</v>
      </c>
      <c r="AT16"/>
      <c r="AU16" s="103">
        <f t="shared" si="5"/>
        <v>1</v>
      </c>
      <c r="AV16" s="103">
        <f t="shared" si="5"/>
        <v>1</v>
      </c>
      <c r="AW16" s="103">
        <f t="shared" si="5"/>
        <v>1</v>
      </c>
      <c r="AX16" s="103">
        <f t="shared" si="5"/>
        <v>1</v>
      </c>
      <c r="AY16" s="103">
        <f t="shared" si="5"/>
        <v>1</v>
      </c>
      <c r="AZ16" s="103">
        <f t="shared" si="5"/>
        <v>1</v>
      </c>
      <c r="BA16" s="103">
        <f t="shared" si="5"/>
        <v>1</v>
      </c>
      <c r="BB16" s="103">
        <f>$B16</f>
        <v>1</v>
      </c>
      <c r="BC16" s="103">
        <f>$B16</f>
        <v>1</v>
      </c>
      <c r="BD16" s="103">
        <f>$B16</f>
        <v>1</v>
      </c>
      <c r="BE16"/>
      <c r="BF16"/>
    </row>
    <row r="17" spans="1:58" s="39" customFormat="1" ht="12.75">
      <c r="A17" s="2" t="s">
        <v>129</v>
      </c>
      <c r="C17" s="102">
        <f aca="true" t="shared" si="9" ref="C17:AH17">ROUNDDOWN(C$9*C16,0)</f>
        <v>12</v>
      </c>
      <c r="D17" s="102">
        <f t="shared" si="9"/>
        <v>32</v>
      </c>
      <c r="E17" s="102">
        <f t="shared" si="9"/>
        <v>9</v>
      </c>
      <c r="F17" s="102">
        <f t="shared" si="9"/>
        <v>36</v>
      </c>
      <c r="G17" s="102">
        <f t="shared" si="9"/>
        <v>36</v>
      </c>
      <c r="H17" s="102">
        <f t="shared" si="9"/>
        <v>24</v>
      </c>
      <c r="I17" s="102">
        <f t="shared" si="9"/>
        <v>0</v>
      </c>
      <c r="J17" s="102">
        <f t="shared" si="9"/>
        <v>0</v>
      </c>
      <c r="K17" s="102">
        <f t="shared" si="9"/>
        <v>0</v>
      </c>
      <c r="L17" s="102">
        <f t="shared" si="9"/>
        <v>0</v>
      </c>
      <c r="M17"/>
      <c r="N17" s="102">
        <f t="shared" si="9"/>
        <v>16</v>
      </c>
      <c r="O17" s="102">
        <f t="shared" si="9"/>
        <v>40</v>
      </c>
      <c r="P17" s="102">
        <f t="shared" si="9"/>
        <v>14</v>
      </c>
      <c r="Q17" s="102">
        <f t="shared" si="9"/>
        <v>36</v>
      </c>
      <c r="R17" s="102">
        <f t="shared" si="9"/>
        <v>36</v>
      </c>
      <c r="S17" s="102">
        <f t="shared" si="9"/>
        <v>21</v>
      </c>
      <c r="T17" s="102">
        <f t="shared" si="9"/>
        <v>0</v>
      </c>
      <c r="U17" s="102">
        <f t="shared" si="9"/>
        <v>0</v>
      </c>
      <c r="V17" s="102">
        <f t="shared" si="9"/>
        <v>0</v>
      </c>
      <c r="W17" s="102">
        <f t="shared" si="9"/>
        <v>0</v>
      </c>
      <c r="X17"/>
      <c r="Y17" s="102">
        <f t="shared" si="9"/>
        <v>10</v>
      </c>
      <c r="Z17" s="102">
        <f t="shared" si="9"/>
        <v>13</v>
      </c>
      <c r="AA17" s="102">
        <f t="shared" si="9"/>
        <v>4</v>
      </c>
      <c r="AB17" s="102">
        <f t="shared" si="9"/>
        <v>13</v>
      </c>
      <c r="AC17" s="102">
        <f t="shared" si="9"/>
        <v>13</v>
      </c>
      <c r="AD17" s="102">
        <f t="shared" si="9"/>
        <v>9</v>
      </c>
      <c r="AE17" s="102">
        <f t="shared" si="9"/>
        <v>0</v>
      </c>
      <c r="AF17" s="102">
        <f t="shared" si="9"/>
        <v>0</v>
      </c>
      <c r="AG17" s="102">
        <f t="shared" si="9"/>
        <v>0</v>
      </c>
      <c r="AH17" s="102">
        <f t="shared" si="9"/>
        <v>0</v>
      </c>
      <c r="AI17"/>
      <c r="AJ17" s="102">
        <f aca="true" t="shared" si="10" ref="AJ17:BD17">ROUNDDOWN(AJ$9*AJ16,0)</f>
        <v>8</v>
      </c>
      <c r="AK17" s="102">
        <f t="shared" si="10"/>
        <v>29</v>
      </c>
      <c r="AL17" s="102">
        <f t="shared" si="10"/>
        <v>7</v>
      </c>
      <c r="AM17" s="102">
        <f t="shared" si="10"/>
        <v>25</v>
      </c>
      <c r="AN17" s="102">
        <f t="shared" si="10"/>
        <v>25</v>
      </c>
      <c r="AO17" s="102">
        <f t="shared" si="10"/>
        <v>17</v>
      </c>
      <c r="AP17" s="102">
        <f t="shared" si="10"/>
        <v>0</v>
      </c>
      <c r="AQ17" s="102">
        <f t="shared" si="10"/>
        <v>0</v>
      </c>
      <c r="AR17" s="102">
        <f t="shared" si="10"/>
        <v>0</v>
      </c>
      <c r="AS17" s="102">
        <f t="shared" si="10"/>
        <v>0</v>
      </c>
      <c r="AT17"/>
      <c r="AU17" s="102">
        <f t="shared" si="10"/>
        <v>5</v>
      </c>
      <c r="AV17" s="102">
        <f t="shared" si="10"/>
        <v>18</v>
      </c>
      <c r="AW17" s="102">
        <f t="shared" si="10"/>
        <v>4</v>
      </c>
      <c r="AX17" s="102">
        <f t="shared" si="10"/>
        <v>14</v>
      </c>
      <c r="AY17" s="102">
        <f t="shared" si="10"/>
        <v>14</v>
      </c>
      <c r="AZ17" s="102">
        <f t="shared" si="10"/>
        <v>8</v>
      </c>
      <c r="BA17" s="102">
        <f t="shared" si="10"/>
        <v>0</v>
      </c>
      <c r="BB17" s="102">
        <f t="shared" si="10"/>
        <v>0</v>
      </c>
      <c r="BC17" s="102">
        <f t="shared" si="10"/>
        <v>0</v>
      </c>
      <c r="BD17" s="102">
        <f t="shared" si="10"/>
        <v>0</v>
      </c>
      <c r="BE17"/>
      <c r="BF17"/>
    </row>
    <row r="18" spans="1:58" s="39" customFormat="1" ht="12.75">
      <c r="A18" s="2"/>
      <c r="M18"/>
      <c r="X18"/>
      <c r="AI18"/>
      <c r="AT18"/>
      <c r="BE18"/>
      <c r="BF18"/>
    </row>
    <row r="19" spans="1:58" s="39" customFormat="1" ht="12.75">
      <c r="A19" s="2"/>
      <c r="M19"/>
      <c r="X19"/>
      <c r="AI19"/>
      <c r="AT19"/>
      <c r="BE19"/>
      <c r="BF19"/>
    </row>
    <row r="20" spans="1:58" s="39" customFormat="1" ht="12.75">
      <c r="A20" s="2" t="s">
        <v>58</v>
      </c>
      <c r="M20"/>
      <c r="X20"/>
      <c r="AI20"/>
      <c r="AT20"/>
      <c r="BE20"/>
      <c r="BF20"/>
    </row>
    <row r="21" spans="1:58" s="39" customFormat="1" ht="12.75">
      <c r="A21" s="2"/>
      <c r="M21"/>
      <c r="X21"/>
      <c r="AI21"/>
      <c r="AT21"/>
      <c r="BE21"/>
      <c r="BF21"/>
    </row>
    <row r="22" spans="1:58" s="39" customFormat="1" ht="12.75">
      <c r="A22" s="2" t="s">
        <v>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/>
      <c r="BF22"/>
    </row>
    <row r="23" spans="1:58" s="39" customFormat="1" ht="12.75">
      <c r="A23" s="2"/>
      <c r="M23"/>
      <c r="X23"/>
      <c r="AI23"/>
      <c r="AT23"/>
      <c r="BE23"/>
      <c r="BF23"/>
    </row>
    <row r="24" spans="1:58" s="39" customFormat="1" ht="12.75">
      <c r="A24" s="2" t="s">
        <v>150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/>
      <c r="BF24"/>
    </row>
    <row r="25" spans="1:58" s="39" customFormat="1" ht="12.75">
      <c r="A25" s="2"/>
      <c r="M25"/>
      <c r="X25"/>
      <c r="AI25"/>
      <c r="AT25"/>
      <c r="BE25"/>
      <c r="BF25"/>
    </row>
    <row r="26" spans="1:58" s="39" customFormat="1" ht="12.75">
      <c r="A26" s="2" t="s">
        <v>78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/>
      <c r="BF26"/>
    </row>
    <row r="27" spans="1:58" s="39" customFormat="1" ht="12.75">
      <c r="A27" s="2"/>
      <c r="M27"/>
      <c r="X27"/>
      <c r="AI27"/>
      <c r="AT27"/>
      <c r="BE27"/>
      <c r="BF27"/>
    </row>
    <row r="28" spans="1:58" s="39" customFormat="1" ht="12.75">
      <c r="A28" s="29" t="s">
        <v>127</v>
      </c>
      <c r="M28"/>
      <c r="X28"/>
      <c r="AI28"/>
      <c r="AT28"/>
      <c r="BE28"/>
      <c r="BF28"/>
    </row>
    <row r="29" spans="1:58" s="39" customFormat="1" ht="12.75">
      <c r="A29" s="2"/>
      <c r="M29"/>
      <c r="X29"/>
      <c r="AI29"/>
      <c r="AT29"/>
      <c r="BE29"/>
      <c r="BF29"/>
    </row>
    <row r="30" spans="1:58" s="39" customFormat="1" ht="12.75">
      <c r="A30" s="2"/>
      <c r="M30"/>
      <c r="X30"/>
      <c r="AI30"/>
      <c r="AT30"/>
      <c r="BE30"/>
      <c r="BF30"/>
    </row>
    <row r="31" spans="1:58" s="39" customFormat="1" ht="12.75">
      <c r="A31" s="2"/>
      <c r="M31"/>
      <c r="X31"/>
      <c r="AI31"/>
      <c r="AT31"/>
      <c r="BE31"/>
      <c r="BF31"/>
    </row>
    <row r="32" spans="1:58" s="39" customFormat="1" ht="12.75">
      <c r="A32" s="2"/>
      <c r="M32"/>
      <c r="X32"/>
      <c r="AI32"/>
      <c r="AT32"/>
      <c r="BE32"/>
      <c r="BF32"/>
    </row>
    <row r="33" spans="1:58" s="39" customFormat="1" ht="12.75">
      <c r="A33" s="2"/>
      <c r="M33"/>
      <c r="X33"/>
      <c r="AI33"/>
      <c r="AT33"/>
      <c r="BE33"/>
      <c r="BF33"/>
    </row>
    <row r="34" spans="1:58" s="39" customFormat="1" ht="12.75">
      <c r="A34" s="2"/>
      <c r="M34"/>
      <c r="X34"/>
      <c r="AI34"/>
      <c r="AT34"/>
      <c r="BE34"/>
      <c r="BF34"/>
    </row>
    <row r="35" spans="1:58" s="39" customFormat="1" ht="12.75">
      <c r="A35" s="2"/>
      <c r="M35"/>
      <c r="X35"/>
      <c r="AI35"/>
      <c r="AT35"/>
      <c r="BE35"/>
      <c r="BF35"/>
    </row>
    <row r="36" spans="1:58" s="39" customFormat="1" ht="12.75">
      <c r="A36" s="2"/>
      <c r="M36"/>
      <c r="X36"/>
      <c r="AI36"/>
      <c r="AT36"/>
      <c r="BE36"/>
      <c r="BF36"/>
    </row>
    <row r="37" spans="1:58" s="39" customFormat="1" ht="12.75">
      <c r="A37" s="2"/>
      <c r="M37"/>
      <c r="X37"/>
      <c r="AI37"/>
      <c r="AT37"/>
      <c r="BE37"/>
      <c r="BF37"/>
    </row>
    <row r="38" spans="1:58" s="39" customFormat="1" ht="12.75">
      <c r="A38" s="2"/>
      <c r="M38"/>
      <c r="X38"/>
      <c r="AI38"/>
      <c r="AT38"/>
      <c r="BE38"/>
      <c r="BF38"/>
    </row>
    <row r="39" spans="1:58" s="39" customFormat="1" ht="12.75">
      <c r="A39" s="2"/>
      <c r="M39"/>
      <c r="X39"/>
      <c r="AI39"/>
      <c r="AT39"/>
      <c r="BE39"/>
      <c r="BF39"/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landscape" paperSize="9" scale="4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3"/>
  <sheetViews>
    <sheetView zoomScale="150" zoomScaleNormal="150" workbookViewId="0" topLeftCell="A1">
      <pane xSplit="1" topLeftCell="B1" activePane="topRight" state="frozen"/>
      <selection pane="topLeft" activeCell="A48" sqref="A48"/>
      <selection pane="topRight" activeCell="A12" sqref="A12"/>
    </sheetView>
  </sheetViews>
  <sheetFormatPr defaultColWidth="11.00390625" defaultRowHeight="12"/>
  <cols>
    <col min="1" max="1" width="28.375" style="12" customWidth="1"/>
    <col min="2" max="2" width="5.50390625" style="12" customWidth="1"/>
    <col min="3" max="3" width="7.125" style="2" bestFit="1" customWidth="1"/>
    <col min="4" max="4" width="4.50390625" style="2" bestFit="1" customWidth="1"/>
    <col min="5" max="5" width="3.50390625" style="2" bestFit="1" customWidth="1"/>
    <col min="6" max="7" width="4.50390625" style="2" bestFit="1" customWidth="1"/>
    <col min="8" max="8" width="3.50390625" style="2" bestFit="1" customWidth="1"/>
    <col min="9" max="12" width="4.50390625" style="2" bestFit="1" customWidth="1"/>
    <col min="13" max="13" width="5.625" style="2" customWidth="1"/>
    <col min="14" max="14" width="8.375" style="39" bestFit="1" customWidth="1"/>
    <col min="15" max="15" width="4.50390625" style="39" bestFit="1" customWidth="1"/>
    <col min="16" max="16" width="3.50390625" style="39" bestFit="1" customWidth="1"/>
    <col min="17" max="18" width="4.50390625" style="39" bestFit="1" customWidth="1"/>
    <col min="19" max="19" width="3.50390625" style="39" bestFit="1" customWidth="1"/>
    <col min="20" max="23" width="4.50390625" style="39" bestFit="1" customWidth="1"/>
    <col min="24" max="24" width="5.625" style="39" customWidth="1"/>
    <col min="25" max="27" width="3.875" style="39" customWidth="1"/>
    <col min="28" max="34" width="3.875" style="2" customWidth="1"/>
    <col min="35" max="35" width="5.625" style="2" customWidth="1"/>
    <col min="36" max="44" width="3.875" style="2" customWidth="1"/>
    <col min="45" max="45" width="4.50390625" style="2" bestFit="1" customWidth="1"/>
    <col min="46" max="46" width="5.625" style="2" customWidth="1"/>
    <col min="47" max="47" width="3.875" style="2" customWidth="1"/>
    <col min="48" max="48" width="4.50390625" style="2" bestFit="1" customWidth="1"/>
    <col min="49" max="51" width="3.875" style="2" customWidth="1"/>
    <col min="52" max="52" width="3.50390625" style="2" bestFit="1" customWidth="1"/>
    <col min="53" max="56" width="4.50390625" style="2" bestFit="1" customWidth="1"/>
    <col min="57" max="59" width="5.625" style="2" customWidth="1"/>
    <col min="60" max="60" width="5.875" style="2" customWidth="1"/>
    <col min="61" max="62" width="5.875" style="0" customWidth="1"/>
    <col min="63" max="63" width="4.50390625" style="2" customWidth="1"/>
    <col min="64" max="16384" width="10.875" style="2" customWidth="1"/>
  </cols>
  <sheetData>
    <row r="1" ht="33">
      <c r="A1" s="29" t="str">
        <f>Basiswerte!A1</f>
        <v>Budgettool zur Berechnung der Betriebskosten einer modularen Tagesstruktur</v>
      </c>
    </row>
    <row r="2" ht="15" customHeight="1">
      <c r="A2" s="12" t="str">
        <f>Basiswerte!A2</f>
        <v>Variante Catering</v>
      </c>
    </row>
    <row r="3" spans="1:2" ht="15">
      <c r="A3" s="43"/>
      <c r="B3" s="43"/>
    </row>
    <row r="4" spans="1:62" s="1" customFormat="1" ht="15">
      <c r="A4" s="43" t="s">
        <v>123</v>
      </c>
      <c r="B4" s="43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BI4"/>
      <c r="BJ4"/>
    </row>
    <row r="6" spans="3:59" ht="12.75">
      <c r="C6" s="63" t="s">
        <v>38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63" t="s">
        <v>13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63" t="s">
        <v>14</v>
      </c>
      <c r="Z6" s="64"/>
      <c r="AA6" s="64"/>
      <c r="AB6" s="64"/>
      <c r="AC6" s="64"/>
      <c r="AD6" s="64"/>
      <c r="AE6" s="64"/>
      <c r="AF6" s="64"/>
      <c r="AG6" s="64"/>
      <c r="AH6" s="64"/>
      <c r="AI6" s="65"/>
      <c r="AJ6" s="63" t="s">
        <v>15</v>
      </c>
      <c r="AK6" s="64"/>
      <c r="AL6" s="64"/>
      <c r="AM6" s="64"/>
      <c r="AN6" s="64"/>
      <c r="AO6" s="64"/>
      <c r="AP6" s="64"/>
      <c r="AQ6" s="64"/>
      <c r="AR6" s="64"/>
      <c r="AS6" s="64"/>
      <c r="AT6" s="65"/>
      <c r="AU6" s="63" t="s">
        <v>61</v>
      </c>
      <c r="AV6" s="64"/>
      <c r="AW6" s="64"/>
      <c r="AX6" s="64"/>
      <c r="AY6" s="64"/>
      <c r="AZ6" s="64"/>
      <c r="BA6" s="64"/>
      <c r="BB6" s="64"/>
      <c r="BC6" s="64"/>
      <c r="BD6" s="64"/>
      <c r="BE6" s="65"/>
      <c r="BF6" s="64" t="s">
        <v>28</v>
      </c>
      <c r="BG6" s="64"/>
    </row>
    <row r="7" spans="1:62" s="8" customFormat="1" ht="33.75">
      <c r="A7" s="108" t="s">
        <v>10</v>
      </c>
      <c r="B7" s="109"/>
      <c r="C7" s="154">
        <v>0.2916666666666667</v>
      </c>
      <c r="D7" s="155">
        <v>0.4895833333333333</v>
      </c>
      <c r="E7" s="155">
        <f>D8</f>
        <v>0.5625</v>
      </c>
      <c r="F7" s="155">
        <f aca="true" t="shared" si="0" ref="F7:L7">E8</f>
        <v>0.6284722222222222</v>
      </c>
      <c r="G7" s="155">
        <f t="shared" si="0"/>
        <v>0.6701388888888888</v>
      </c>
      <c r="H7" s="155">
        <f t="shared" si="0"/>
        <v>0.7083333333333334</v>
      </c>
      <c r="I7" s="157">
        <f t="shared" si="0"/>
        <v>0.75</v>
      </c>
      <c r="J7" s="157">
        <f t="shared" si="0"/>
        <v>0.75</v>
      </c>
      <c r="K7" s="157">
        <f t="shared" si="0"/>
        <v>0.75</v>
      </c>
      <c r="L7" s="157">
        <f t="shared" si="0"/>
        <v>0.75</v>
      </c>
      <c r="M7" s="61"/>
      <c r="N7" s="154">
        <v>0.2916666666666667</v>
      </c>
      <c r="O7" s="155">
        <v>0.4895833333333333</v>
      </c>
      <c r="P7" s="155">
        <f aca="true" t="shared" si="1" ref="P7:W7">O8</f>
        <v>0.5625</v>
      </c>
      <c r="Q7" s="155">
        <f t="shared" si="1"/>
        <v>0.6284722222222222</v>
      </c>
      <c r="R7" s="155">
        <f t="shared" si="1"/>
        <v>0.6701388888888888</v>
      </c>
      <c r="S7" s="155">
        <f t="shared" si="1"/>
        <v>0.7083333333333334</v>
      </c>
      <c r="T7" s="157">
        <f t="shared" si="1"/>
        <v>0.75</v>
      </c>
      <c r="U7" s="157">
        <f t="shared" si="1"/>
        <v>0.75</v>
      </c>
      <c r="V7" s="157">
        <f t="shared" si="1"/>
        <v>0.75</v>
      </c>
      <c r="W7" s="157">
        <f t="shared" si="1"/>
        <v>0.75</v>
      </c>
      <c r="X7" s="61"/>
      <c r="Y7" s="156">
        <v>0.2916666666666667</v>
      </c>
      <c r="Z7" s="157">
        <v>0.4895833333333333</v>
      </c>
      <c r="AA7" s="157">
        <f aca="true" t="shared" si="2" ref="AA7:AH7">Z8</f>
        <v>0.5625</v>
      </c>
      <c r="AB7" s="157">
        <f t="shared" si="2"/>
        <v>0.6284722222222222</v>
      </c>
      <c r="AC7" s="157">
        <f t="shared" si="2"/>
        <v>0.6701388888888888</v>
      </c>
      <c r="AD7" s="157">
        <f t="shared" si="2"/>
        <v>0.7083333333333334</v>
      </c>
      <c r="AE7" s="157">
        <f t="shared" si="2"/>
        <v>0.75</v>
      </c>
      <c r="AF7" s="157">
        <f t="shared" si="2"/>
        <v>0.75</v>
      </c>
      <c r="AG7" s="157">
        <f t="shared" si="2"/>
        <v>0.75</v>
      </c>
      <c r="AH7" s="157">
        <f t="shared" si="2"/>
        <v>0.75</v>
      </c>
      <c r="AI7" s="61"/>
      <c r="AJ7" s="156">
        <v>0.2916666666666667</v>
      </c>
      <c r="AK7" s="157">
        <v>0.4895833333333333</v>
      </c>
      <c r="AL7" s="157">
        <f aca="true" t="shared" si="3" ref="AL7:AS7">AK8</f>
        <v>0.5625</v>
      </c>
      <c r="AM7" s="157">
        <f t="shared" si="3"/>
        <v>0.6284722222222222</v>
      </c>
      <c r="AN7" s="157">
        <f t="shared" si="3"/>
        <v>0.6701388888888888</v>
      </c>
      <c r="AO7" s="157">
        <f t="shared" si="3"/>
        <v>0.7083333333333334</v>
      </c>
      <c r="AP7" s="157">
        <f t="shared" si="3"/>
        <v>0.75</v>
      </c>
      <c r="AQ7" s="157">
        <f t="shared" si="3"/>
        <v>0.75</v>
      </c>
      <c r="AR7" s="157">
        <f t="shared" si="3"/>
        <v>0.75</v>
      </c>
      <c r="AS7" s="157">
        <f t="shared" si="3"/>
        <v>0.75</v>
      </c>
      <c r="AT7" s="61"/>
      <c r="AU7" s="156">
        <v>0.2916666666666667</v>
      </c>
      <c r="AV7" s="157">
        <v>0.4895833333333333</v>
      </c>
      <c r="AW7" s="157">
        <f aca="true" t="shared" si="4" ref="AW7:BD7">AV8</f>
        <v>0.5625</v>
      </c>
      <c r="AX7" s="157">
        <f t="shared" si="4"/>
        <v>0.6284722222222222</v>
      </c>
      <c r="AY7" s="157">
        <f t="shared" si="4"/>
        <v>0.6701388888888888</v>
      </c>
      <c r="AZ7" s="157">
        <f t="shared" si="4"/>
        <v>0.7083333333333334</v>
      </c>
      <c r="BA7" s="157">
        <f t="shared" si="4"/>
        <v>0.75</v>
      </c>
      <c r="BB7" s="157">
        <f t="shared" si="4"/>
        <v>0.75</v>
      </c>
      <c r="BC7" s="157">
        <f t="shared" si="4"/>
        <v>0.75</v>
      </c>
      <c r="BD7" s="157">
        <f t="shared" si="4"/>
        <v>0.75</v>
      </c>
      <c r="BE7" s="61"/>
      <c r="BF7" s="114"/>
      <c r="BG7" s="138"/>
      <c r="BH7" s="115"/>
      <c r="BI7"/>
      <c r="BJ7"/>
    </row>
    <row r="8" spans="1:62" s="8" customFormat="1" ht="33.75">
      <c r="A8" s="108" t="s">
        <v>11</v>
      </c>
      <c r="C8" s="154">
        <v>0.3333333333333333</v>
      </c>
      <c r="D8" s="155">
        <v>0.5625</v>
      </c>
      <c r="E8" s="155">
        <v>0.6284722222222222</v>
      </c>
      <c r="F8" s="155">
        <v>0.6701388888888888</v>
      </c>
      <c r="G8" s="155">
        <v>0.7083333333333334</v>
      </c>
      <c r="H8" s="155">
        <v>0.75</v>
      </c>
      <c r="I8" s="157">
        <v>0.75</v>
      </c>
      <c r="J8" s="157">
        <v>0.75</v>
      </c>
      <c r="K8" s="157">
        <v>0.75</v>
      </c>
      <c r="L8" s="157">
        <v>0.75</v>
      </c>
      <c r="M8" s="61" t="s">
        <v>9</v>
      </c>
      <c r="N8" s="154">
        <v>0.3333333333333333</v>
      </c>
      <c r="O8" s="155">
        <v>0.5625</v>
      </c>
      <c r="P8" s="155">
        <v>0.6284722222222222</v>
      </c>
      <c r="Q8" s="155">
        <v>0.6701388888888888</v>
      </c>
      <c r="R8" s="155">
        <v>0.7083333333333334</v>
      </c>
      <c r="S8" s="155">
        <v>0.75</v>
      </c>
      <c r="T8" s="157">
        <v>0.75</v>
      </c>
      <c r="U8" s="157">
        <v>0.75</v>
      </c>
      <c r="V8" s="157">
        <v>0.75</v>
      </c>
      <c r="W8" s="157">
        <v>0.75</v>
      </c>
      <c r="X8" s="61" t="s">
        <v>9</v>
      </c>
      <c r="Y8" s="156">
        <v>0.3333333333333333</v>
      </c>
      <c r="Z8" s="157">
        <v>0.5625</v>
      </c>
      <c r="AA8" s="157">
        <v>0.6284722222222222</v>
      </c>
      <c r="AB8" s="157">
        <v>0.6701388888888888</v>
      </c>
      <c r="AC8" s="157">
        <v>0.7083333333333334</v>
      </c>
      <c r="AD8" s="157">
        <v>0.75</v>
      </c>
      <c r="AE8" s="157">
        <v>0.75</v>
      </c>
      <c r="AF8" s="157">
        <v>0.75</v>
      </c>
      <c r="AG8" s="157">
        <v>0.75</v>
      </c>
      <c r="AH8" s="157">
        <v>0.75</v>
      </c>
      <c r="AI8" s="61" t="s">
        <v>9</v>
      </c>
      <c r="AJ8" s="156">
        <v>0.3333333333333333</v>
      </c>
      <c r="AK8" s="157">
        <v>0.5625</v>
      </c>
      <c r="AL8" s="157">
        <v>0.6284722222222222</v>
      </c>
      <c r="AM8" s="157">
        <v>0.6701388888888888</v>
      </c>
      <c r="AN8" s="157">
        <v>0.7083333333333334</v>
      </c>
      <c r="AO8" s="157">
        <v>0.75</v>
      </c>
      <c r="AP8" s="157">
        <v>0.75</v>
      </c>
      <c r="AQ8" s="157">
        <v>0.75</v>
      </c>
      <c r="AR8" s="157">
        <v>0.75</v>
      </c>
      <c r="AS8" s="157">
        <v>0.75</v>
      </c>
      <c r="AT8" s="61" t="s">
        <v>9</v>
      </c>
      <c r="AU8" s="156">
        <v>0.3333333333333333</v>
      </c>
      <c r="AV8" s="157">
        <v>0.5625</v>
      </c>
      <c r="AW8" s="157">
        <v>0.6284722222222222</v>
      </c>
      <c r="AX8" s="157">
        <v>0.6701388888888888</v>
      </c>
      <c r="AY8" s="157">
        <v>0.7083333333333334</v>
      </c>
      <c r="AZ8" s="157">
        <v>0.75</v>
      </c>
      <c r="BA8" s="157">
        <v>0.75</v>
      </c>
      <c r="BB8" s="157">
        <v>0.75</v>
      </c>
      <c r="BC8" s="157">
        <v>0.75</v>
      </c>
      <c r="BD8" s="157">
        <v>0.75</v>
      </c>
      <c r="BE8" s="61" t="s">
        <v>9</v>
      </c>
      <c r="BF8" s="116"/>
      <c r="BG8" s="140" t="s">
        <v>29</v>
      </c>
      <c r="BH8" s="117"/>
      <c r="BI8"/>
      <c r="BJ8"/>
    </row>
    <row r="9" spans="1:62" s="8" customFormat="1" ht="12.75">
      <c r="A9" s="51" t="s">
        <v>12</v>
      </c>
      <c r="B9" s="51"/>
      <c r="C9" s="166">
        <f aca="true" t="shared" si="5" ref="C9:L9">(C8-C7)*24</f>
        <v>0.9999999999999991</v>
      </c>
      <c r="D9" s="167">
        <f t="shared" si="5"/>
        <v>1.7500000000000004</v>
      </c>
      <c r="E9" s="167">
        <f t="shared" si="5"/>
        <v>1.583333333333333</v>
      </c>
      <c r="F9" s="167">
        <f t="shared" si="5"/>
        <v>0.9999999999999991</v>
      </c>
      <c r="G9" s="167">
        <f t="shared" si="5"/>
        <v>0.9166666666666687</v>
      </c>
      <c r="H9" s="167">
        <f t="shared" si="5"/>
        <v>0.9999999999999991</v>
      </c>
      <c r="I9" s="168">
        <f t="shared" si="5"/>
        <v>0</v>
      </c>
      <c r="J9" s="167">
        <f t="shared" si="5"/>
        <v>0</v>
      </c>
      <c r="K9" s="167">
        <f t="shared" si="5"/>
        <v>0</v>
      </c>
      <c r="L9" s="167">
        <f t="shared" si="5"/>
        <v>0</v>
      </c>
      <c r="M9" s="169">
        <f>SUM(C9:H9)</f>
        <v>7.249999999999999</v>
      </c>
      <c r="N9" s="166">
        <f aca="true" t="shared" si="6" ref="N9:W9">(N8-N7)*24</f>
        <v>0.9999999999999991</v>
      </c>
      <c r="O9" s="167">
        <f t="shared" si="6"/>
        <v>1.7500000000000004</v>
      </c>
      <c r="P9" s="167">
        <f t="shared" si="6"/>
        <v>1.583333333333333</v>
      </c>
      <c r="Q9" s="167">
        <f t="shared" si="6"/>
        <v>0.9999999999999991</v>
      </c>
      <c r="R9" s="167">
        <f t="shared" si="6"/>
        <v>0.9166666666666687</v>
      </c>
      <c r="S9" s="167">
        <f t="shared" si="6"/>
        <v>0.9999999999999991</v>
      </c>
      <c r="T9" s="168">
        <f t="shared" si="6"/>
        <v>0</v>
      </c>
      <c r="U9" s="167">
        <f t="shared" si="6"/>
        <v>0</v>
      </c>
      <c r="V9" s="167">
        <f t="shared" si="6"/>
        <v>0</v>
      </c>
      <c r="W9" s="167">
        <f t="shared" si="6"/>
        <v>0</v>
      </c>
      <c r="X9" s="169">
        <f>SUM(N9:S9)</f>
        <v>7.249999999999999</v>
      </c>
      <c r="Y9" s="166">
        <f aca="true" t="shared" si="7" ref="Y9:AH9">(Y8-Y7)*24</f>
        <v>0.9999999999999991</v>
      </c>
      <c r="Z9" s="167">
        <f t="shared" si="7"/>
        <v>1.7500000000000004</v>
      </c>
      <c r="AA9" s="167">
        <f t="shared" si="7"/>
        <v>1.583333333333333</v>
      </c>
      <c r="AB9" s="167">
        <f t="shared" si="7"/>
        <v>0.9999999999999991</v>
      </c>
      <c r="AC9" s="167">
        <f t="shared" si="7"/>
        <v>0.9166666666666687</v>
      </c>
      <c r="AD9" s="167">
        <f t="shared" si="7"/>
        <v>0.9999999999999991</v>
      </c>
      <c r="AE9" s="168">
        <f t="shared" si="7"/>
        <v>0</v>
      </c>
      <c r="AF9" s="167">
        <f t="shared" si="7"/>
        <v>0</v>
      </c>
      <c r="AG9" s="167">
        <f t="shared" si="7"/>
        <v>0</v>
      </c>
      <c r="AH9" s="167">
        <f t="shared" si="7"/>
        <v>0</v>
      </c>
      <c r="AI9" s="169">
        <f>SUM(Y9:AD9)</f>
        <v>7.249999999999999</v>
      </c>
      <c r="AJ9" s="166">
        <f aca="true" t="shared" si="8" ref="AJ9:AS9">(AJ8-AJ7)*24</f>
        <v>0.9999999999999991</v>
      </c>
      <c r="AK9" s="167">
        <f t="shared" si="8"/>
        <v>1.7500000000000004</v>
      </c>
      <c r="AL9" s="167">
        <f t="shared" si="8"/>
        <v>1.583333333333333</v>
      </c>
      <c r="AM9" s="167">
        <f t="shared" si="8"/>
        <v>0.9999999999999991</v>
      </c>
      <c r="AN9" s="167">
        <f t="shared" si="8"/>
        <v>0.9166666666666687</v>
      </c>
      <c r="AO9" s="170">
        <f t="shared" si="8"/>
        <v>0.9999999999999991</v>
      </c>
      <c r="AP9" s="168">
        <f t="shared" si="8"/>
        <v>0</v>
      </c>
      <c r="AQ9" s="167">
        <f t="shared" si="8"/>
        <v>0</v>
      </c>
      <c r="AR9" s="167">
        <f t="shared" si="8"/>
        <v>0</v>
      </c>
      <c r="AS9" s="167">
        <f t="shared" si="8"/>
        <v>0</v>
      </c>
      <c r="AT9" s="169">
        <f>SUM(AJ9:AO9)</f>
        <v>7.249999999999999</v>
      </c>
      <c r="AU9" s="166">
        <f aca="true" t="shared" si="9" ref="AU9:BD9">(AU8-AU7)*24</f>
        <v>0.9999999999999991</v>
      </c>
      <c r="AV9" s="167">
        <f t="shared" si="9"/>
        <v>1.7500000000000004</v>
      </c>
      <c r="AW9" s="167">
        <f t="shared" si="9"/>
        <v>1.583333333333333</v>
      </c>
      <c r="AX9" s="167">
        <f t="shared" si="9"/>
        <v>0.9999999999999991</v>
      </c>
      <c r="AY9" s="167">
        <f t="shared" si="9"/>
        <v>0.9166666666666687</v>
      </c>
      <c r="AZ9" s="167">
        <f t="shared" si="9"/>
        <v>0.9999999999999991</v>
      </c>
      <c r="BA9" s="168">
        <f t="shared" si="9"/>
        <v>0</v>
      </c>
      <c r="BB9" s="167">
        <f t="shared" si="9"/>
        <v>0</v>
      </c>
      <c r="BC9" s="167">
        <f t="shared" si="9"/>
        <v>0</v>
      </c>
      <c r="BD9" s="167">
        <f t="shared" si="9"/>
        <v>0</v>
      </c>
      <c r="BE9" s="169">
        <f>SUM(AU9:AZ9)</f>
        <v>7.249999999999999</v>
      </c>
      <c r="BF9" s="205"/>
      <c r="BG9" s="206"/>
      <c r="BH9" s="171">
        <f>AVERAGE(M9,X9,AI9,AT9,BE9)</f>
        <v>7.249999999999998</v>
      </c>
      <c r="BI9"/>
      <c r="BJ9"/>
    </row>
    <row r="10" spans="1:62" s="8" customFormat="1" ht="25.5" customHeight="1">
      <c r="A10" s="70" t="s">
        <v>43</v>
      </c>
      <c r="B10" s="70"/>
      <c r="C10" s="71">
        <f>Nachfrage!C13</f>
        <v>4</v>
      </c>
      <c r="D10" s="72">
        <f>Nachfrage!D13</f>
        <v>12</v>
      </c>
      <c r="E10" s="72">
        <f>Nachfrage!E13</f>
        <v>3</v>
      </c>
      <c r="F10" s="72">
        <f>Nachfrage!F13</f>
        <v>14</v>
      </c>
      <c r="G10" s="72">
        <f>Nachfrage!G13</f>
        <v>14</v>
      </c>
      <c r="H10" s="72">
        <f>Nachfrage!H13</f>
        <v>9</v>
      </c>
      <c r="I10" s="73">
        <f>Nachfrage!I13</f>
        <v>0</v>
      </c>
      <c r="J10" s="73">
        <f>Nachfrage!J13</f>
        <v>0</v>
      </c>
      <c r="K10" s="73">
        <f>Nachfrage!K13</f>
        <v>0</v>
      </c>
      <c r="L10" s="73">
        <f>Nachfrage!L13</f>
        <v>0</v>
      </c>
      <c r="M10" s="104"/>
      <c r="N10" s="105">
        <f>Nachfrage!N13</f>
        <v>6</v>
      </c>
      <c r="O10" s="106">
        <f>Nachfrage!O13</f>
        <v>16</v>
      </c>
      <c r="P10" s="106">
        <f>Nachfrage!P13</f>
        <v>5</v>
      </c>
      <c r="Q10" s="106">
        <f>Nachfrage!Q13</f>
        <v>14</v>
      </c>
      <c r="R10" s="106">
        <f>Nachfrage!R13</f>
        <v>14</v>
      </c>
      <c r="S10" s="106">
        <f>Nachfrage!S13</f>
        <v>8</v>
      </c>
      <c r="T10" s="106">
        <f>Nachfrage!T13</f>
        <v>0</v>
      </c>
      <c r="U10" s="106">
        <f>Nachfrage!U13</f>
        <v>0</v>
      </c>
      <c r="V10" s="106">
        <f>Nachfrage!V13</f>
        <v>0</v>
      </c>
      <c r="W10" s="107">
        <f>Nachfrage!W13</f>
        <v>0</v>
      </c>
      <c r="X10" s="104"/>
      <c r="Y10" s="105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6">
        <f>Nachfrage!AE13</f>
        <v>0</v>
      </c>
      <c r="AF10" s="106">
        <f>Nachfrage!AF13</f>
        <v>0</v>
      </c>
      <c r="AG10" s="106">
        <f>Nachfrage!AG13</f>
        <v>0</v>
      </c>
      <c r="AH10" s="106">
        <f>Nachfrage!AH13</f>
        <v>0</v>
      </c>
      <c r="AI10" s="104"/>
      <c r="AJ10" s="105">
        <f>Nachfrage!AJ13</f>
        <v>3</v>
      </c>
      <c r="AK10" s="106">
        <f>Nachfrage!AK13</f>
        <v>11</v>
      </c>
      <c r="AL10" s="106">
        <f>Nachfrage!AL13</f>
        <v>2</v>
      </c>
      <c r="AM10" s="106">
        <f>Nachfrage!AM13</f>
        <v>10</v>
      </c>
      <c r="AN10" s="106">
        <f>Nachfrage!AN13</f>
        <v>10</v>
      </c>
      <c r="AO10" s="106">
        <f>Nachfrage!AO13</f>
        <v>6</v>
      </c>
      <c r="AP10" s="106">
        <f>Nachfrage!AP13</f>
        <v>0</v>
      </c>
      <c r="AQ10" s="106">
        <f>Nachfrage!AQ13</f>
        <v>0</v>
      </c>
      <c r="AR10" s="106">
        <f>Nachfrage!AR13</f>
        <v>0</v>
      </c>
      <c r="AS10" s="106">
        <f>Nachfrage!AS13</f>
        <v>0</v>
      </c>
      <c r="AT10" s="104"/>
      <c r="AU10" s="105">
        <v>0</v>
      </c>
      <c r="AV10" s="106">
        <f>Nachfrage!AV13</f>
        <v>7</v>
      </c>
      <c r="AW10" s="106">
        <v>0</v>
      </c>
      <c r="AX10" s="106">
        <v>0</v>
      </c>
      <c r="AY10" s="106">
        <v>0</v>
      </c>
      <c r="AZ10" s="106">
        <v>0</v>
      </c>
      <c r="BA10" s="106">
        <f>Nachfrage!BA13</f>
        <v>0</v>
      </c>
      <c r="BB10" s="106">
        <f>Nachfrage!BB13</f>
        <v>0</v>
      </c>
      <c r="BC10" s="106">
        <f>Nachfrage!BC13</f>
        <v>0</v>
      </c>
      <c r="BD10" s="107">
        <f>Nachfrage!BD13</f>
        <v>0</v>
      </c>
      <c r="BE10" s="62"/>
      <c r="BF10" s="118"/>
      <c r="BG10" s="139"/>
      <c r="BH10" s="119"/>
      <c r="BI10"/>
      <c r="BJ10"/>
    </row>
    <row r="11" spans="1:62" s="83" customFormat="1" ht="19.5" customHeight="1">
      <c r="A11" s="66" t="s">
        <v>71</v>
      </c>
      <c r="B11" s="92" t="s">
        <v>170</v>
      </c>
      <c r="C11" s="79"/>
      <c r="D11" s="80"/>
      <c r="E11" s="80"/>
      <c r="F11" s="80"/>
      <c r="G11" s="80"/>
      <c r="H11" s="80"/>
      <c r="I11" s="80"/>
      <c r="J11" s="80"/>
      <c r="K11" s="80"/>
      <c r="L11" s="81"/>
      <c r="M11" s="82"/>
      <c r="N11" s="79"/>
      <c r="O11" s="80"/>
      <c r="P11" s="80"/>
      <c r="Q11" s="80"/>
      <c r="R11" s="80"/>
      <c r="S11" s="80"/>
      <c r="T11" s="80"/>
      <c r="U11" s="80"/>
      <c r="V11" s="80"/>
      <c r="W11" s="81"/>
      <c r="X11" s="82"/>
      <c r="Y11" s="79"/>
      <c r="Z11" s="80"/>
      <c r="AA11" s="80"/>
      <c r="AB11" s="80"/>
      <c r="AC11" s="80"/>
      <c r="AD11" s="80"/>
      <c r="AE11" s="80"/>
      <c r="AF11" s="80"/>
      <c r="AG11" s="80"/>
      <c r="AH11" s="81"/>
      <c r="AI11" s="82"/>
      <c r="AJ11" s="79"/>
      <c r="AK11" s="80"/>
      <c r="AL11" s="80"/>
      <c r="AM11" s="80"/>
      <c r="AN11" s="80"/>
      <c r="AO11" s="80"/>
      <c r="AP11" s="80"/>
      <c r="AQ11" s="80"/>
      <c r="AR11" s="80"/>
      <c r="AS11" s="81"/>
      <c r="AT11" s="82"/>
      <c r="AU11" s="79"/>
      <c r="AV11" s="80"/>
      <c r="AW11" s="80"/>
      <c r="AX11" s="80"/>
      <c r="AY11" s="80"/>
      <c r="AZ11" s="80"/>
      <c r="BA11" s="80"/>
      <c r="BB11" s="80"/>
      <c r="BC11" s="80"/>
      <c r="BD11" s="81"/>
      <c r="BE11" s="82"/>
      <c r="BF11" s="79" t="s">
        <v>84</v>
      </c>
      <c r="BG11" s="80" t="s">
        <v>85</v>
      </c>
      <c r="BH11" s="81" t="s">
        <v>30</v>
      </c>
      <c r="BI11"/>
      <c r="BJ11"/>
    </row>
    <row r="12" spans="1:62" s="83" customFormat="1" ht="19.5" customHeight="1">
      <c r="A12" s="67" t="s">
        <v>67</v>
      </c>
      <c r="B12" s="191" t="s">
        <v>152</v>
      </c>
      <c r="C12" s="160">
        <v>1</v>
      </c>
      <c r="D12" s="161">
        <v>1</v>
      </c>
      <c r="E12" s="161"/>
      <c r="F12" s="161">
        <v>1</v>
      </c>
      <c r="G12" s="161">
        <v>1</v>
      </c>
      <c r="H12" s="161"/>
      <c r="I12" s="161"/>
      <c r="J12" s="161"/>
      <c r="K12" s="161"/>
      <c r="L12" s="162"/>
      <c r="M12" s="172">
        <f aca="true" t="shared" si="10" ref="M12:M17">C12*C$9+D12*D$9+E$9*E12+F12*F$9+G12*G$9+H12*H$9+I12*I$9+J12*J$9+K12*K$9+L12*L$9</f>
        <v>4.666666666666668</v>
      </c>
      <c r="N12" s="160">
        <v>1</v>
      </c>
      <c r="O12" s="161">
        <v>1</v>
      </c>
      <c r="P12" s="161"/>
      <c r="Q12" s="161">
        <v>1</v>
      </c>
      <c r="R12" s="161">
        <v>1</v>
      </c>
      <c r="S12" s="161">
        <v>1</v>
      </c>
      <c r="T12" s="161"/>
      <c r="U12" s="161"/>
      <c r="V12" s="161"/>
      <c r="W12" s="162"/>
      <c r="X12" s="172">
        <f aca="true" t="shared" si="11" ref="X12:X17">N12*N$9+O12*O$9+P$9*P12+Q12*Q$9+R12*R$9+S12*S$9+T12*T$9+U12*U$9+V12*V$9+W12*W$9</f>
        <v>5.666666666666667</v>
      </c>
      <c r="Y12" s="160"/>
      <c r="Z12" s="161"/>
      <c r="AA12" s="161"/>
      <c r="AB12" s="161"/>
      <c r="AC12" s="161"/>
      <c r="AD12" s="161"/>
      <c r="AE12" s="161"/>
      <c r="AF12" s="161"/>
      <c r="AG12" s="161"/>
      <c r="AH12" s="162"/>
      <c r="AI12" s="172">
        <f aca="true" t="shared" si="12" ref="AI12:AI17">Y12*Y$9+Z12*Z$9+AA$9*AA12+AB12*AB$9+AC12*AC$9+AD12*AD$9+AE12*AE$9+AF12*AF$9+AG12*AG$9+AH12*AH$9</f>
        <v>0</v>
      </c>
      <c r="AJ12" s="160">
        <v>1</v>
      </c>
      <c r="AK12" s="161">
        <v>1</v>
      </c>
      <c r="AL12" s="161"/>
      <c r="AM12" s="161">
        <v>1</v>
      </c>
      <c r="AN12" s="161">
        <v>1</v>
      </c>
      <c r="AO12" s="161">
        <v>1</v>
      </c>
      <c r="AP12" s="161"/>
      <c r="AQ12" s="161"/>
      <c r="AR12" s="161"/>
      <c r="AS12" s="162"/>
      <c r="AT12" s="172">
        <f aca="true" t="shared" si="13" ref="AT12:AT17">AJ12*AJ$9+AK12*AK$9+AL$9*AL12+AM12*AM$9+AN12*AN$9+AO12*AO$9+AP12*AP$9+AQ12*AQ$9+AR12*AR$9+AS12*AS$9</f>
        <v>5.666666666666667</v>
      </c>
      <c r="AU12" s="160"/>
      <c r="AV12" s="161">
        <v>1</v>
      </c>
      <c r="AW12" s="161"/>
      <c r="AX12" s="161"/>
      <c r="AY12" s="161"/>
      <c r="AZ12" s="161"/>
      <c r="BA12" s="161"/>
      <c r="BB12" s="161"/>
      <c r="BC12" s="161"/>
      <c r="BD12" s="162"/>
      <c r="BE12" s="172">
        <f aca="true" t="shared" si="14" ref="BE12:BE17">AU12*AU$9+AV12*AV$9+AW$9*AW12+AX12*AX$9+AY12*AY$9+AZ12*AZ$9+BA12*BA$9+BB12*BB$9+BC12*BC$9+BD12*BD$9</f>
        <v>1.7500000000000004</v>
      </c>
      <c r="BF12" s="174">
        <f aca="true" t="shared" si="15" ref="BF12:BF17">IF(B12="N",0,IF(B12="A",BH12,"Bitte Qualifikation in der Spalte B eintragen"))</f>
        <v>17.750000000000004</v>
      </c>
      <c r="BG12" s="175">
        <f aca="true" t="shared" si="16" ref="BG12:BG17">IF(B12="A",0,IF(B12="N",BH12,"Bitte Qualifikation in der Spalte B eintragen"))</f>
        <v>0</v>
      </c>
      <c r="BH12" s="176">
        <f aca="true" t="shared" si="17" ref="BH12:BH17">M12+X12+AI12+AT12+BE12</f>
        <v>17.750000000000004</v>
      </c>
      <c r="BI12"/>
      <c r="BJ12"/>
    </row>
    <row r="13" spans="1:62" s="83" customFormat="1" ht="19.5" customHeight="1">
      <c r="A13" s="67" t="s">
        <v>107</v>
      </c>
      <c r="B13" s="191" t="s">
        <v>152</v>
      </c>
      <c r="C13" s="160"/>
      <c r="D13" s="161"/>
      <c r="E13" s="161"/>
      <c r="F13" s="161"/>
      <c r="G13" s="161"/>
      <c r="H13" s="161"/>
      <c r="I13" s="161"/>
      <c r="J13" s="161"/>
      <c r="K13" s="161"/>
      <c r="L13" s="162"/>
      <c r="M13" s="172">
        <f>C13*C$9+D13*D$9+E$9*E13+F13*F$9+G13*G$9+H13*H$9+I13*I$9+J13*J$9+K13*K$9+L13*L$9</f>
        <v>0</v>
      </c>
      <c r="N13" s="160"/>
      <c r="O13" s="161"/>
      <c r="P13" s="161"/>
      <c r="Q13" s="161"/>
      <c r="R13" s="161"/>
      <c r="S13" s="161"/>
      <c r="T13" s="161"/>
      <c r="U13" s="161"/>
      <c r="V13" s="161"/>
      <c r="W13" s="162"/>
      <c r="X13" s="172">
        <f t="shared" si="11"/>
        <v>0</v>
      </c>
      <c r="Y13" s="160"/>
      <c r="Z13" s="161"/>
      <c r="AA13" s="161"/>
      <c r="AB13" s="161"/>
      <c r="AC13" s="161"/>
      <c r="AD13" s="161"/>
      <c r="AE13" s="161"/>
      <c r="AF13" s="161"/>
      <c r="AG13" s="161"/>
      <c r="AH13" s="162"/>
      <c r="AI13" s="172">
        <f t="shared" si="12"/>
        <v>0</v>
      </c>
      <c r="AJ13" s="160"/>
      <c r="AK13" s="161"/>
      <c r="AL13" s="161"/>
      <c r="AM13" s="161"/>
      <c r="AN13" s="161"/>
      <c r="AO13" s="161"/>
      <c r="AP13" s="161"/>
      <c r="AQ13" s="161"/>
      <c r="AR13" s="161"/>
      <c r="AS13" s="162"/>
      <c r="AT13" s="172">
        <f t="shared" si="13"/>
        <v>0</v>
      </c>
      <c r="AU13" s="160"/>
      <c r="AV13" s="161"/>
      <c r="AW13" s="161"/>
      <c r="AX13" s="161"/>
      <c r="AY13" s="161"/>
      <c r="AZ13" s="161"/>
      <c r="BA13" s="161"/>
      <c r="BB13" s="161"/>
      <c r="BC13" s="161"/>
      <c r="BD13" s="162"/>
      <c r="BE13" s="172">
        <f t="shared" si="14"/>
        <v>0</v>
      </c>
      <c r="BF13" s="174">
        <f t="shared" si="15"/>
        <v>0</v>
      </c>
      <c r="BG13" s="175">
        <f t="shared" si="16"/>
        <v>0</v>
      </c>
      <c r="BH13" s="176">
        <f t="shared" si="17"/>
        <v>0</v>
      </c>
      <c r="BI13"/>
      <c r="BJ13"/>
    </row>
    <row r="14" spans="1:62" s="83" customFormat="1" ht="19.5" customHeight="1">
      <c r="A14" s="67" t="s">
        <v>108</v>
      </c>
      <c r="B14" s="191" t="s">
        <v>153</v>
      </c>
      <c r="C14" s="160"/>
      <c r="D14" s="161">
        <v>1</v>
      </c>
      <c r="E14" s="161">
        <v>1</v>
      </c>
      <c r="F14" s="161">
        <v>1</v>
      </c>
      <c r="G14" s="161">
        <v>1</v>
      </c>
      <c r="H14" s="161">
        <v>1</v>
      </c>
      <c r="I14" s="161"/>
      <c r="J14" s="161"/>
      <c r="K14" s="161"/>
      <c r="L14" s="162"/>
      <c r="M14" s="172">
        <f>C14*C$9+D14*D$9+E$9*E14+F14*F$9+G14*G$9+H14*H$9+I14*I$9+J14*J$9+K14*K$9+L14*L$9</f>
        <v>6.25</v>
      </c>
      <c r="N14" s="160"/>
      <c r="O14" s="161">
        <v>1</v>
      </c>
      <c r="P14" s="161">
        <v>1</v>
      </c>
      <c r="Q14" s="161">
        <v>1</v>
      </c>
      <c r="R14" s="161">
        <v>1</v>
      </c>
      <c r="S14" s="161"/>
      <c r="T14" s="161"/>
      <c r="U14" s="161"/>
      <c r="V14" s="161"/>
      <c r="W14" s="162"/>
      <c r="X14" s="172">
        <f t="shared" si="11"/>
        <v>5.250000000000001</v>
      </c>
      <c r="Y14" s="160"/>
      <c r="Z14" s="161"/>
      <c r="AA14" s="161"/>
      <c r="AB14" s="161"/>
      <c r="AC14" s="161"/>
      <c r="AD14" s="161"/>
      <c r="AE14" s="161"/>
      <c r="AF14" s="161"/>
      <c r="AG14" s="161"/>
      <c r="AH14" s="162"/>
      <c r="AI14" s="172">
        <f t="shared" si="12"/>
        <v>0</v>
      </c>
      <c r="AJ14" s="160"/>
      <c r="AK14" s="161">
        <v>1</v>
      </c>
      <c r="AL14" s="161">
        <v>1</v>
      </c>
      <c r="AM14" s="161"/>
      <c r="AN14" s="161"/>
      <c r="AO14" s="161"/>
      <c r="AP14" s="161"/>
      <c r="AQ14" s="161"/>
      <c r="AR14" s="161"/>
      <c r="AS14" s="162"/>
      <c r="AT14" s="172">
        <f t="shared" si="13"/>
        <v>3.3333333333333335</v>
      </c>
      <c r="AU14" s="160"/>
      <c r="AV14" s="161"/>
      <c r="AW14" s="161"/>
      <c r="AX14" s="161"/>
      <c r="AY14" s="161"/>
      <c r="AZ14" s="161"/>
      <c r="BA14" s="161"/>
      <c r="BB14" s="161"/>
      <c r="BC14" s="161"/>
      <c r="BD14" s="162"/>
      <c r="BE14" s="172">
        <f t="shared" si="14"/>
        <v>0</v>
      </c>
      <c r="BF14" s="174">
        <f t="shared" si="15"/>
        <v>0</v>
      </c>
      <c r="BG14" s="175">
        <f t="shared" si="16"/>
        <v>14.833333333333334</v>
      </c>
      <c r="BH14" s="176">
        <f t="shared" si="17"/>
        <v>14.833333333333334</v>
      </c>
      <c r="BI14"/>
      <c r="BJ14"/>
    </row>
    <row r="15" spans="1:62" s="83" customFormat="1" ht="19.5" customHeight="1">
      <c r="A15" s="67" t="s">
        <v>55</v>
      </c>
      <c r="B15" s="191" t="s">
        <v>153</v>
      </c>
      <c r="C15" s="160"/>
      <c r="D15" s="161"/>
      <c r="E15" s="161"/>
      <c r="F15" s="161"/>
      <c r="G15" s="161"/>
      <c r="H15" s="161"/>
      <c r="I15" s="161"/>
      <c r="J15" s="161"/>
      <c r="K15" s="161"/>
      <c r="L15" s="162"/>
      <c r="M15" s="172">
        <f t="shared" si="10"/>
        <v>0</v>
      </c>
      <c r="N15" s="160"/>
      <c r="O15" s="161"/>
      <c r="P15" s="161"/>
      <c r="Q15" s="161"/>
      <c r="R15" s="161"/>
      <c r="S15" s="161"/>
      <c r="T15" s="161"/>
      <c r="U15" s="161"/>
      <c r="V15" s="161"/>
      <c r="W15" s="162"/>
      <c r="X15" s="172">
        <f t="shared" si="11"/>
        <v>0</v>
      </c>
      <c r="Y15" s="160"/>
      <c r="Z15" s="161"/>
      <c r="AA15" s="161"/>
      <c r="AB15" s="161"/>
      <c r="AC15" s="161"/>
      <c r="AD15" s="161"/>
      <c r="AE15" s="161"/>
      <c r="AF15" s="161"/>
      <c r="AG15" s="161"/>
      <c r="AH15" s="162"/>
      <c r="AI15" s="172">
        <f t="shared" si="12"/>
        <v>0</v>
      </c>
      <c r="AJ15" s="160"/>
      <c r="AK15" s="161"/>
      <c r="AL15" s="161"/>
      <c r="AM15" s="161"/>
      <c r="AN15" s="161"/>
      <c r="AO15" s="161"/>
      <c r="AP15" s="161"/>
      <c r="AQ15" s="161"/>
      <c r="AR15" s="161"/>
      <c r="AS15" s="162"/>
      <c r="AT15" s="172">
        <f t="shared" si="13"/>
        <v>0</v>
      </c>
      <c r="AU15" s="160"/>
      <c r="AV15" s="161"/>
      <c r="AW15" s="161"/>
      <c r="AX15" s="161"/>
      <c r="AY15" s="161"/>
      <c r="AZ15" s="161"/>
      <c r="BA15" s="161"/>
      <c r="BB15" s="161"/>
      <c r="BC15" s="161"/>
      <c r="BD15" s="162"/>
      <c r="BE15" s="172">
        <f t="shared" si="14"/>
        <v>0</v>
      </c>
      <c r="BF15" s="174">
        <f t="shared" si="15"/>
        <v>0</v>
      </c>
      <c r="BG15" s="175">
        <f t="shared" si="16"/>
        <v>0</v>
      </c>
      <c r="BH15" s="176">
        <f t="shared" si="17"/>
        <v>0</v>
      </c>
      <c r="BI15"/>
      <c r="BJ15"/>
    </row>
    <row r="16" spans="1:62" s="83" customFormat="1" ht="19.5" customHeight="1">
      <c r="A16" s="67" t="s">
        <v>56</v>
      </c>
      <c r="B16" s="191" t="s">
        <v>153</v>
      </c>
      <c r="C16" s="160"/>
      <c r="D16" s="161"/>
      <c r="E16" s="161"/>
      <c r="F16" s="161"/>
      <c r="G16" s="161"/>
      <c r="H16" s="161"/>
      <c r="I16" s="161"/>
      <c r="J16" s="161"/>
      <c r="K16" s="161"/>
      <c r="L16" s="162"/>
      <c r="M16" s="172">
        <f t="shared" si="10"/>
        <v>0</v>
      </c>
      <c r="N16" s="160"/>
      <c r="O16" s="161"/>
      <c r="P16" s="161"/>
      <c r="Q16" s="161"/>
      <c r="R16" s="161"/>
      <c r="S16" s="161"/>
      <c r="T16" s="161"/>
      <c r="U16" s="161"/>
      <c r="V16" s="161"/>
      <c r="W16" s="162"/>
      <c r="X16" s="172">
        <f t="shared" si="11"/>
        <v>0</v>
      </c>
      <c r="Y16" s="160"/>
      <c r="Z16" s="161"/>
      <c r="AA16" s="161"/>
      <c r="AB16" s="161"/>
      <c r="AC16" s="161"/>
      <c r="AD16" s="161"/>
      <c r="AE16" s="161"/>
      <c r="AF16" s="161"/>
      <c r="AG16" s="161"/>
      <c r="AH16" s="162"/>
      <c r="AI16" s="172">
        <f t="shared" si="12"/>
        <v>0</v>
      </c>
      <c r="AJ16" s="160"/>
      <c r="AK16" s="161"/>
      <c r="AL16" s="161"/>
      <c r="AM16" s="161"/>
      <c r="AN16" s="161"/>
      <c r="AO16" s="161"/>
      <c r="AP16" s="161"/>
      <c r="AQ16" s="161"/>
      <c r="AR16" s="161"/>
      <c r="AS16" s="162"/>
      <c r="AT16" s="172">
        <f t="shared" si="13"/>
        <v>0</v>
      </c>
      <c r="AU16" s="160"/>
      <c r="AV16" s="161"/>
      <c r="AW16" s="161"/>
      <c r="AX16" s="161"/>
      <c r="AY16" s="161"/>
      <c r="AZ16" s="161"/>
      <c r="BA16" s="161"/>
      <c r="BB16" s="161"/>
      <c r="BC16" s="161"/>
      <c r="BD16" s="162"/>
      <c r="BE16" s="172">
        <f t="shared" si="14"/>
        <v>0</v>
      </c>
      <c r="BF16" s="174">
        <f t="shared" si="15"/>
        <v>0</v>
      </c>
      <c r="BG16" s="175">
        <f t="shared" si="16"/>
        <v>0</v>
      </c>
      <c r="BH16" s="176">
        <f t="shared" si="17"/>
        <v>0</v>
      </c>
      <c r="BI16"/>
      <c r="BJ16"/>
    </row>
    <row r="17" spans="1:62" s="83" customFormat="1" ht="19.5" customHeight="1">
      <c r="A17" s="68" t="s">
        <v>86</v>
      </c>
      <c r="B17" s="192" t="s">
        <v>153</v>
      </c>
      <c r="C17" s="163"/>
      <c r="D17" s="164"/>
      <c r="E17" s="164"/>
      <c r="F17" s="164"/>
      <c r="G17" s="164"/>
      <c r="H17" s="164"/>
      <c r="I17" s="164"/>
      <c r="J17" s="164"/>
      <c r="K17" s="164"/>
      <c r="L17" s="165"/>
      <c r="M17" s="173">
        <f t="shared" si="10"/>
        <v>0</v>
      </c>
      <c r="N17" s="163"/>
      <c r="O17" s="164"/>
      <c r="P17" s="164"/>
      <c r="Q17" s="164"/>
      <c r="R17" s="164"/>
      <c r="S17" s="164"/>
      <c r="T17" s="164"/>
      <c r="U17" s="164"/>
      <c r="V17" s="164"/>
      <c r="W17" s="165"/>
      <c r="X17" s="173">
        <f t="shared" si="11"/>
        <v>0</v>
      </c>
      <c r="Y17" s="163"/>
      <c r="Z17" s="164"/>
      <c r="AA17" s="164"/>
      <c r="AB17" s="164"/>
      <c r="AC17" s="164"/>
      <c r="AD17" s="164"/>
      <c r="AE17" s="164"/>
      <c r="AF17" s="164"/>
      <c r="AG17" s="164"/>
      <c r="AH17" s="165"/>
      <c r="AI17" s="173">
        <f t="shared" si="12"/>
        <v>0</v>
      </c>
      <c r="AJ17" s="163"/>
      <c r="AK17" s="164"/>
      <c r="AL17" s="164"/>
      <c r="AM17" s="164"/>
      <c r="AN17" s="164"/>
      <c r="AO17" s="164"/>
      <c r="AP17" s="164"/>
      <c r="AQ17" s="164"/>
      <c r="AR17" s="164"/>
      <c r="AS17" s="165"/>
      <c r="AT17" s="173">
        <f t="shared" si="13"/>
        <v>0</v>
      </c>
      <c r="AU17" s="163"/>
      <c r="AV17" s="164"/>
      <c r="AW17" s="164"/>
      <c r="AX17" s="164"/>
      <c r="AY17" s="164"/>
      <c r="AZ17" s="164"/>
      <c r="BA17" s="164"/>
      <c r="BB17" s="164"/>
      <c r="BC17" s="164"/>
      <c r="BD17" s="165"/>
      <c r="BE17" s="173">
        <f t="shared" si="14"/>
        <v>0</v>
      </c>
      <c r="BF17" s="177">
        <f t="shared" si="15"/>
        <v>0</v>
      </c>
      <c r="BG17" s="178">
        <f t="shared" si="16"/>
        <v>0</v>
      </c>
      <c r="BH17" s="179">
        <f t="shared" si="17"/>
        <v>0</v>
      </c>
      <c r="BI17"/>
      <c r="BJ17"/>
    </row>
    <row r="18" spans="1:62" s="197" customFormat="1" ht="19.5" customHeight="1">
      <c r="A18" s="66" t="s">
        <v>37</v>
      </c>
      <c r="B18" s="92"/>
      <c r="C18" s="193"/>
      <c r="D18" s="194"/>
      <c r="E18" s="194"/>
      <c r="F18" s="194"/>
      <c r="G18" s="194"/>
      <c r="H18" s="194"/>
      <c r="I18" s="194"/>
      <c r="J18" s="194"/>
      <c r="K18" s="194"/>
      <c r="L18" s="195"/>
      <c r="M18" s="198"/>
      <c r="N18" s="193"/>
      <c r="O18" s="194"/>
      <c r="P18" s="194"/>
      <c r="Q18" s="194"/>
      <c r="R18" s="194"/>
      <c r="S18" s="194"/>
      <c r="T18" s="194"/>
      <c r="U18" s="194"/>
      <c r="V18" s="194"/>
      <c r="W18" s="195"/>
      <c r="X18" s="198"/>
      <c r="Y18" s="193"/>
      <c r="Z18" s="194"/>
      <c r="AA18" s="194"/>
      <c r="AB18" s="194"/>
      <c r="AC18" s="194"/>
      <c r="AD18" s="194"/>
      <c r="AE18" s="194"/>
      <c r="AF18" s="194"/>
      <c r="AG18" s="194"/>
      <c r="AH18" s="195"/>
      <c r="AI18" s="198"/>
      <c r="AJ18" s="193"/>
      <c r="AK18" s="194"/>
      <c r="AL18" s="194"/>
      <c r="AM18" s="194"/>
      <c r="AN18" s="194"/>
      <c r="AO18" s="194"/>
      <c r="AP18" s="194"/>
      <c r="AQ18" s="194"/>
      <c r="AR18" s="194"/>
      <c r="AS18" s="195"/>
      <c r="AT18" s="198"/>
      <c r="AU18" s="193"/>
      <c r="AV18" s="194"/>
      <c r="AW18" s="194"/>
      <c r="AX18" s="194"/>
      <c r="AY18" s="194"/>
      <c r="AZ18" s="194"/>
      <c r="BA18" s="194"/>
      <c r="BB18" s="194"/>
      <c r="BC18" s="194"/>
      <c r="BD18" s="195"/>
      <c r="BE18" s="198"/>
      <c r="BF18" s="193"/>
      <c r="BG18" s="194"/>
      <c r="BH18" s="195"/>
      <c r="BI18" s="196"/>
      <c r="BJ18" s="196"/>
    </row>
    <row r="19" spans="1:63" s="39" customFormat="1" ht="19.5" customHeight="1">
      <c r="A19" s="67" t="s">
        <v>8</v>
      </c>
      <c r="B19" s="93"/>
      <c r="C19" s="85"/>
      <c r="D19" s="86"/>
      <c r="E19" s="86"/>
      <c r="F19" s="86"/>
      <c r="G19" s="86"/>
      <c r="H19" s="86"/>
      <c r="I19" s="87"/>
      <c r="J19" s="87"/>
      <c r="K19" s="87"/>
      <c r="L19" s="88"/>
      <c r="M19" s="172">
        <f>SUM(M12:M17)</f>
        <v>10.916666666666668</v>
      </c>
      <c r="N19" s="85"/>
      <c r="O19" s="86"/>
      <c r="P19" s="86"/>
      <c r="Q19" s="86"/>
      <c r="R19" s="86"/>
      <c r="S19" s="86"/>
      <c r="T19" s="87"/>
      <c r="U19" s="87"/>
      <c r="V19" s="87"/>
      <c r="W19" s="88"/>
      <c r="X19" s="172">
        <f>SUM(X12:X17)</f>
        <v>10.916666666666668</v>
      </c>
      <c r="Y19" s="85"/>
      <c r="Z19" s="86"/>
      <c r="AA19" s="86"/>
      <c r="AB19" s="86"/>
      <c r="AC19" s="86"/>
      <c r="AD19" s="86"/>
      <c r="AE19" s="87"/>
      <c r="AF19" s="87"/>
      <c r="AG19" s="87"/>
      <c r="AH19" s="88"/>
      <c r="AI19" s="172">
        <f>SUM(AI12:AI17)</f>
        <v>0</v>
      </c>
      <c r="AJ19" s="85"/>
      <c r="AK19" s="86"/>
      <c r="AL19" s="86"/>
      <c r="AM19" s="86"/>
      <c r="AN19" s="86"/>
      <c r="AO19" s="86"/>
      <c r="AP19" s="87"/>
      <c r="AQ19" s="87"/>
      <c r="AR19" s="87"/>
      <c r="AS19" s="88"/>
      <c r="AT19" s="172">
        <f>SUM(AT12:AT17)</f>
        <v>9</v>
      </c>
      <c r="AU19" s="85"/>
      <c r="AV19" s="86"/>
      <c r="AW19" s="86"/>
      <c r="AX19" s="86"/>
      <c r="AY19" s="86"/>
      <c r="AZ19" s="86"/>
      <c r="BA19" s="87"/>
      <c r="BB19" s="87"/>
      <c r="BC19" s="87"/>
      <c r="BD19" s="88"/>
      <c r="BE19" s="172">
        <f>SUM(BE12:BE17)</f>
        <v>1.7500000000000004</v>
      </c>
      <c r="BF19" s="174">
        <f>SUM(BF12:BF17)</f>
        <v>17.750000000000004</v>
      </c>
      <c r="BG19" s="175">
        <f>SUM(BG12:BG17)</f>
        <v>14.833333333333334</v>
      </c>
      <c r="BH19" s="176">
        <f>SUM(BH12:BH17)</f>
        <v>32.583333333333336</v>
      </c>
      <c r="BI19"/>
      <c r="BJ19"/>
      <c r="BK19" s="113"/>
    </row>
    <row r="20" spans="1:63" s="131" customFormat="1" ht="30" customHeight="1">
      <c r="A20" s="123" t="s">
        <v>124</v>
      </c>
      <c r="B20" s="124"/>
      <c r="C20" s="125"/>
      <c r="D20" s="126"/>
      <c r="E20" s="126"/>
      <c r="F20" s="126"/>
      <c r="G20" s="126"/>
      <c r="H20" s="126"/>
      <c r="I20" s="127"/>
      <c r="J20" s="127"/>
      <c r="K20" s="127"/>
      <c r="L20" s="128"/>
      <c r="M20" s="199"/>
      <c r="N20" s="200"/>
      <c r="O20" s="201"/>
      <c r="P20" s="201"/>
      <c r="Q20" s="201"/>
      <c r="R20" s="201"/>
      <c r="S20" s="201"/>
      <c r="T20" s="202"/>
      <c r="U20" s="202"/>
      <c r="V20" s="202"/>
      <c r="W20" s="203"/>
      <c r="X20" s="199"/>
      <c r="Y20" s="200"/>
      <c r="Z20" s="201"/>
      <c r="AA20" s="201"/>
      <c r="AB20" s="201"/>
      <c r="AC20" s="201"/>
      <c r="AD20" s="201"/>
      <c r="AE20" s="202"/>
      <c r="AF20" s="202"/>
      <c r="AG20" s="202"/>
      <c r="AH20" s="203"/>
      <c r="AI20" s="199"/>
      <c r="AJ20" s="200"/>
      <c r="AK20" s="201"/>
      <c r="AL20" s="201"/>
      <c r="AM20" s="201"/>
      <c r="AN20" s="201"/>
      <c r="AO20" s="201"/>
      <c r="AP20" s="202"/>
      <c r="AQ20" s="202"/>
      <c r="AR20" s="202"/>
      <c r="AS20" s="203"/>
      <c r="AT20" s="199"/>
      <c r="AU20" s="200"/>
      <c r="AV20" s="201"/>
      <c r="AW20" s="201"/>
      <c r="AX20" s="201"/>
      <c r="AY20" s="201"/>
      <c r="AZ20" s="201"/>
      <c r="BA20" s="202"/>
      <c r="BB20" s="202"/>
      <c r="BC20" s="202"/>
      <c r="BD20" s="203"/>
      <c r="BE20" s="199"/>
      <c r="BF20" s="129"/>
      <c r="BG20" s="141"/>
      <c r="BH20" s="180">
        <f>BF19/BH19</f>
        <v>0.5447570332480819</v>
      </c>
      <c r="BI20"/>
      <c r="BJ20"/>
      <c r="BK20" s="130"/>
    </row>
    <row r="21" spans="1:62" s="39" customFormat="1" ht="19.5" customHeight="1">
      <c r="A21" s="67" t="s">
        <v>159</v>
      </c>
      <c r="B21" s="93"/>
      <c r="C21" s="184">
        <f aca="true" t="shared" si="18" ref="C21:L21">IF(C10=0,"",C10/SUM(C12:C17))</f>
        <v>4</v>
      </c>
      <c r="D21" s="185">
        <f t="shared" si="18"/>
        <v>6</v>
      </c>
      <c r="E21" s="185">
        <f t="shared" si="18"/>
        <v>3</v>
      </c>
      <c r="F21" s="185">
        <f t="shared" si="18"/>
        <v>7</v>
      </c>
      <c r="G21" s="185">
        <f t="shared" si="18"/>
        <v>7</v>
      </c>
      <c r="H21" s="185">
        <f t="shared" si="18"/>
        <v>9</v>
      </c>
      <c r="I21" s="185">
        <f t="shared" si="18"/>
      </c>
      <c r="J21" s="185">
        <f t="shared" si="18"/>
      </c>
      <c r="K21" s="185">
        <f t="shared" si="18"/>
      </c>
      <c r="L21" s="186">
        <f t="shared" si="18"/>
      </c>
      <c r="M21" s="172">
        <f>IF(M22=0,"",M22/M19)</f>
        <v>6.00763358778626</v>
      </c>
      <c r="N21" s="184">
        <f aca="true" t="shared" si="19" ref="N21:W21">IF(N10=0,"",N10/SUM(N12:N17))</f>
        <v>6</v>
      </c>
      <c r="O21" s="185">
        <f t="shared" si="19"/>
        <v>8</v>
      </c>
      <c r="P21" s="185">
        <f t="shared" si="19"/>
        <v>5</v>
      </c>
      <c r="Q21" s="185">
        <f t="shared" si="19"/>
        <v>7</v>
      </c>
      <c r="R21" s="185">
        <f t="shared" si="19"/>
        <v>7</v>
      </c>
      <c r="S21" s="185">
        <f t="shared" si="19"/>
        <v>8</v>
      </c>
      <c r="T21" s="185">
        <f t="shared" si="19"/>
      </c>
      <c r="U21" s="185">
        <f t="shared" si="19"/>
      </c>
      <c r="V21" s="185">
        <f t="shared" si="19"/>
      </c>
      <c r="W21" s="186">
        <f t="shared" si="19"/>
      </c>
      <c r="X21" s="172">
        <f>IF(X22=0,"",X22/X19)</f>
        <v>7.030534351145038</v>
      </c>
      <c r="Y21" s="184">
        <f aca="true" t="shared" si="20" ref="Y21:AH21">IF(Y10=0,"",Y10/SUM(Y12:Y17))</f>
      </c>
      <c r="Z21" s="185">
        <f t="shared" si="20"/>
      </c>
      <c r="AA21" s="185">
        <f t="shared" si="20"/>
      </c>
      <c r="AB21" s="185">
        <f t="shared" si="20"/>
      </c>
      <c r="AC21" s="185">
        <f t="shared" si="20"/>
      </c>
      <c r="AD21" s="185">
        <f t="shared" si="20"/>
      </c>
      <c r="AE21" s="185">
        <f t="shared" si="20"/>
      </c>
      <c r="AF21" s="185">
        <f t="shared" si="20"/>
      </c>
      <c r="AG21" s="185">
        <f t="shared" si="20"/>
      </c>
      <c r="AH21" s="186">
        <f t="shared" si="20"/>
      </c>
      <c r="AI21" s="172">
        <f>IF(AI22=0,"",AI22/AI19)</f>
      </c>
      <c r="AJ21" s="184">
        <f aca="true" t="shared" si="21" ref="AJ21:AS21">IF(AJ10=0,"",AJ10/SUM(AJ12:AJ17))</f>
        <v>3</v>
      </c>
      <c r="AK21" s="185">
        <f t="shared" si="21"/>
        <v>5.5</v>
      </c>
      <c r="AL21" s="185">
        <f t="shared" si="21"/>
        <v>2</v>
      </c>
      <c r="AM21" s="185">
        <f t="shared" si="21"/>
        <v>10</v>
      </c>
      <c r="AN21" s="185">
        <f t="shared" si="21"/>
        <v>10</v>
      </c>
      <c r="AO21" s="185">
        <f t="shared" si="21"/>
        <v>6</v>
      </c>
      <c r="AP21" s="185">
        <f t="shared" si="21"/>
      </c>
      <c r="AQ21" s="185">
        <f t="shared" si="21"/>
      </c>
      <c r="AR21" s="185">
        <f t="shared" si="21"/>
      </c>
      <c r="AS21" s="186">
        <f t="shared" si="21"/>
      </c>
      <c r="AT21" s="172">
        <f>IF(AT22=0,"",AT22/AT19)</f>
        <v>5.62037037037037</v>
      </c>
      <c r="AU21" s="184">
        <f aca="true" t="shared" si="22" ref="AU21:BD21">IF(AU10=0,"",AU10/SUM(AU12:AU17))</f>
      </c>
      <c r="AV21" s="185">
        <f t="shared" si="22"/>
        <v>7</v>
      </c>
      <c r="AW21" s="185">
        <f t="shared" si="22"/>
      </c>
      <c r="AX21" s="185">
        <f t="shared" si="22"/>
      </c>
      <c r="AY21" s="185">
        <f t="shared" si="22"/>
      </c>
      <c r="AZ21" s="185">
        <f t="shared" si="22"/>
      </c>
      <c r="BA21" s="185">
        <f t="shared" si="22"/>
      </c>
      <c r="BB21" s="185">
        <f t="shared" si="22"/>
      </c>
      <c r="BC21" s="185">
        <f t="shared" si="22"/>
      </c>
      <c r="BD21" s="186">
        <f t="shared" si="22"/>
      </c>
      <c r="BE21" s="172">
        <f>IF(BE22=0,"",BE22/BE19)</f>
        <v>7</v>
      </c>
      <c r="BF21" s="120"/>
      <c r="BG21" s="135"/>
      <c r="BH21" s="181">
        <f>BH22/BH19</f>
        <v>6.296675191815857</v>
      </c>
      <c r="BI21"/>
      <c r="BJ21"/>
    </row>
    <row r="22" spans="1:62" s="52" customFormat="1" ht="19.5" customHeight="1">
      <c r="A22" s="69" t="s">
        <v>120</v>
      </c>
      <c r="B22" s="94"/>
      <c r="C22" s="184">
        <f aca="true" t="shared" si="23" ref="C22:L22">C10*C9</f>
        <v>3.9999999999999964</v>
      </c>
      <c r="D22" s="185">
        <f t="shared" si="23"/>
        <v>21.000000000000007</v>
      </c>
      <c r="E22" s="185">
        <f t="shared" si="23"/>
        <v>4.749999999999999</v>
      </c>
      <c r="F22" s="185">
        <f t="shared" si="23"/>
        <v>13.999999999999988</v>
      </c>
      <c r="G22" s="185">
        <f t="shared" si="23"/>
        <v>12.833333333333362</v>
      </c>
      <c r="H22" s="185">
        <f t="shared" si="23"/>
        <v>8.999999999999993</v>
      </c>
      <c r="I22" s="175">
        <f t="shared" si="23"/>
        <v>0</v>
      </c>
      <c r="J22" s="175">
        <f t="shared" si="23"/>
        <v>0</v>
      </c>
      <c r="K22" s="175">
        <f t="shared" si="23"/>
        <v>0</v>
      </c>
      <c r="L22" s="175">
        <f t="shared" si="23"/>
        <v>0</v>
      </c>
      <c r="M22" s="172">
        <f>SUM(C22:L22)</f>
        <v>65.58333333333334</v>
      </c>
      <c r="N22" s="184">
        <f aca="true" t="shared" si="24" ref="N22:W22">N10*N9</f>
        <v>5.999999999999995</v>
      </c>
      <c r="O22" s="185">
        <f t="shared" si="24"/>
        <v>28.000000000000007</v>
      </c>
      <c r="P22" s="185">
        <f t="shared" si="24"/>
        <v>7.916666666666665</v>
      </c>
      <c r="Q22" s="185">
        <f t="shared" si="24"/>
        <v>13.999999999999988</v>
      </c>
      <c r="R22" s="185">
        <f t="shared" si="24"/>
        <v>12.833333333333362</v>
      </c>
      <c r="S22" s="185">
        <f t="shared" si="24"/>
        <v>7.999999999999993</v>
      </c>
      <c r="T22" s="175">
        <f t="shared" si="24"/>
        <v>0</v>
      </c>
      <c r="U22" s="175">
        <f t="shared" si="24"/>
        <v>0</v>
      </c>
      <c r="V22" s="175">
        <f t="shared" si="24"/>
        <v>0</v>
      </c>
      <c r="W22" s="175">
        <f t="shared" si="24"/>
        <v>0</v>
      </c>
      <c r="X22" s="172">
        <f>SUM(N22:W22)</f>
        <v>76.75</v>
      </c>
      <c r="Y22" s="184">
        <f aca="true" t="shared" si="25" ref="Y22:AH22">Y10*Y9</f>
        <v>0</v>
      </c>
      <c r="Z22" s="185">
        <f t="shared" si="25"/>
        <v>0</v>
      </c>
      <c r="AA22" s="185">
        <f t="shared" si="25"/>
        <v>0</v>
      </c>
      <c r="AB22" s="185">
        <f t="shared" si="25"/>
        <v>0</v>
      </c>
      <c r="AC22" s="185">
        <f t="shared" si="25"/>
        <v>0</v>
      </c>
      <c r="AD22" s="185">
        <f t="shared" si="25"/>
        <v>0</v>
      </c>
      <c r="AE22" s="175">
        <f t="shared" si="25"/>
        <v>0</v>
      </c>
      <c r="AF22" s="175">
        <f t="shared" si="25"/>
        <v>0</v>
      </c>
      <c r="AG22" s="175">
        <f t="shared" si="25"/>
        <v>0</v>
      </c>
      <c r="AH22" s="175">
        <f t="shared" si="25"/>
        <v>0</v>
      </c>
      <c r="AI22" s="172">
        <f>SUM(Y22:AH22)</f>
        <v>0</v>
      </c>
      <c r="AJ22" s="184">
        <f aca="true" t="shared" si="26" ref="AJ22:AS22">AJ10*AJ9</f>
        <v>2.9999999999999973</v>
      </c>
      <c r="AK22" s="185">
        <f t="shared" si="26"/>
        <v>19.250000000000004</v>
      </c>
      <c r="AL22" s="185">
        <f t="shared" si="26"/>
        <v>3.166666666666666</v>
      </c>
      <c r="AM22" s="185">
        <f t="shared" si="26"/>
        <v>9.999999999999991</v>
      </c>
      <c r="AN22" s="185">
        <f t="shared" si="26"/>
        <v>9.166666666666687</v>
      </c>
      <c r="AO22" s="185">
        <f t="shared" si="26"/>
        <v>5.999999999999995</v>
      </c>
      <c r="AP22" s="175">
        <f t="shared" si="26"/>
        <v>0</v>
      </c>
      <c r="AQ22" s="175">
        <f t="shared" si="26"/>
        <v>0</v>
      </c>
      <c r="AR22" s="175">
        <f t="shared" si="26"/>
        <v>0</v>
      </c>
      <c r="AS22" s="175">
        <f t="shared" si="26"/>
        <v>0</v>
      </c>
      <c r="AT22" s="172">
        <f>SUM(AJ22:AS22)</f>
        <v>50.583333333333336</v>
      </c>
      <c r="AU22" s="184">
        <f aca="true" t="shared" si="27" ref="AU22:BD22">AU10*AU9</f>
        <v>0</v>
      </c>
      <c r="AV22" s="185">
        <f t="shared" si="27"/>
        <v>12.250000000000004</v>
      </c>
      <c r="AW22" s="185">
        <f t="shared" si="27"/>
        <v>0</v>
      </c>
      <c r="AX22" s="185">
        <f t="shared" si="27"/>
        <v>0</v>
      </c>
      <c r="AY22" s="185">
        <f t="shared" si="27"/>
        <v>0</v>
      </c>
      <c r="AZ22" s="185">
        <f t="shared" si="27"/>
        <v>0</v>
      </c>
      <c r="BA22" s="175">
        <f t="shared" si="27"/>
        <v>0</v>
      </c>
      <c r="BB22" s="175">
        <f t="shared" si="27"/>
        <v>0</v>
      </c>
      <c r="BC22" s="175">
        <f t="shared" si="27"/>
        <v>0</v>
      </c>
      <c r="BD22" s="175">
        <f t="shared" si="27"/>
        <v>0</v>
      </c>
      <c r="BE22" s="172">
        <f>SUM(AU22:BD22)</f>
        <v>12.250000000000004</v>
      </c>
      <c r="BF22" s="120"/>
      <c r="BG22" s="135"/>
      <c r="BH22" s="181">
        <f>M22+X22+AI22+AT22+BE22</f>
        <v>205.16666666666669</v>
      </c>
      <c r="BI22"/>
      <c r="BJ22"/>
    </row>
    <row r="23" spans="1:62" s="39" customFormat="1" ht="19.5" customHeight="1">
      <c r="A23" s="67" t="s">
        <v>110</v>
      </c>
      <c r="B23" s="93"/>
      <c r="C23" s="97"/>
      <c r="D23" s="187">
        <f>D10</f>
        <v>12</v>
      </c>
      <c r="E23" s="98"/>
      <c r="F23" s="98"/>
      <c r="G23" s="98"/>
      <c r="H23" s="98"/>
      <c r="I23" s="98"/>
      <c r="J23" s="98"/>
      <c r="K23" s="98"/>
      <c r="L23" s="99"/>
      <c r="M23" s="204"/>
      <c r="N23" s="97"/>
      <c r="O23" s="187">
        <f>O10</f>
        <v>16</v>
      </c>
      <c r="P23" s="98"/>
      <c r="Q23" s="98"/>
      <c r="R23" s="98"/>
      <c r="S23" s="98"/>
      <c r="T23" s="98"/>
      <c r="U23" s="98"/>
      <c r="V23" s="98"/>
      <c r="W23" s="99"/>
      <c r="X23" s="204"/>
      <c r="Y23" s="97"/>
      <c r="Z23" s="187">
        <f>Z10</f>
        <v>0</v>
      </c>
      <c r="AA23" s="98"/>
      <c r="AB23" s="98"/>
      <c r="AC23" s="98"/>
      <c r="AD23" s="98"/>
      <c r="AE23" s="98"/>
      <c r="AF23" s="98"/>
      <c r="AG23" s="98"/>
      <c r="AH23" s="99"/>
      <c r="AI23" s="204"/>
      <c r="AJ23" s="97"/>
      <c r="AK23" s="187">
        <f>AK10</f>
        <v>11</v>
      </c>
      <c r="AL23" s="98"/>
      <c r="AM23" s="98"/>
      <c r="AN23" s="98"/>
      <c r="AO23" s="98"/>
      <c r="AP23" s="98"/>
      <c r="AQ23" s="98"/>
      <c r="AR23" s="98"/>
      <c r="AS23" s="99"/>
      <c r="AT23" s="204"/>
      <c r="AU23" s="97"/>
      <c r="AV23" s="187">
        <f>AV10</f>
        <v>7</v>
      </c>
      <c r="AW23" s="98"/>
      <c r="AX23" s="98"/>
      <c r="AY23" s="98"/>
      <c r="AZ23" s="98"/>
      <c r="BA23" s="98"/>
      <c r="BB23" s="98"/>
      <c r="BC23" s="98"/>
      <c r="BD23" s="99"/>
      <c r="BE23" s="204"/>
      <c r="BF23" s="121"/>
      <c r="BG23" s="136"/>
      <c r="BH23" s="182">
        <f>SUM(C23:BD23)</f>
        <v>46</v>
      </c>
      <c r="BI23"/>
      <c r="BJ23"/>
    </row>
    <row r="24" spans="1:62" s="39" customFormat="1" ht="19.5" customHeight="1">
      <c r="A24" s="67" t="s">
        <v>7</v>
      </c>
      <c r="B24" s="93"/>
      <c r="C24" s="188">
        <f>C10</f>
        <v>4</v>
      </c>
      <c r="D24" s="98"/>
      <c r="E24" s="98"/>
      <c r="F24" s="98"/>
      <c r="G24" s="98"/>
      <c r="H24" s="98"/>
      <c r="I24" s="98"/>
      <c r="J24" s="98"/>
      <c r="K24" s="98"/>
      <c r="L24" s="99"/>
      <c r="M24" s="204"/>
      <c r="N24" s="188">
        <f>N10</f>
        <v>6</v>
      </c>
      <c r="O24" s="98"/>
      <c r="P24" s="98"/>
      <c r="Q24" s="98"/>
      <c r="R24" s="98"/>
      <c r="S24" s="98"/>
      <c r="T24" s="98"/>
      <c r="U24" s="98"/>
      <c r="V24" s="98"/>
      <c r="W24" s="99"/>
      <c r="X24" s="204"/>
      <c r="Y24" s="188">
        <f>Y10</f>
        <v>0</v>
      </c>
      <c r="Z24" s="98"/>
      <c r="AA24" s="98"/>
      <c r="AB24" s="98"/>
      <c r="AC24" s="98"/>
      <c r="AD24" s="98"/>
      <c r="AE24" s="98"/>
      <c r="AF24" s="98"/>
      <c r="AG24" s="98"/>
      <c r="AH24" s="99"/>
      <c r="AI24" s="204"/>
      <c r="AJ24" s="188">
        <f>AJ10</f>
        <v>3</v>
      </c>
      <c r="AK24" s="98"/>
      <c r="AL24" s="98"/>
      <c r="AM24" s="98"/>
      <c r="AN24" s="98"/>
      <c r="AO24" s="98"/>
      <c r="AP24" s="98"/>
      <c r="AQ24" s="98"/>
      <c r="AR24" s="98"/>
      <c r="AS24" s="99"/>
      <c r="AT24" s="204"/>
      <c r="AU24" s="188">
        <f>AU10</f>
        <v>0</v>
      </c>
      <c r="AV24" s="98"/>
      <c r="AW24" s="98"/>
      <c r="AX24" s="98"/>
      <c r="AY24" s="98"/>
      <c r="AZ24" s="98"/>
      <c r="BA24" s="98"/>
      <c r="BB24" s="98"/>
      <c r="BC24" s="98"/>
      <c r="BD24" s="99"/>
      <c r="BE24" s="204"/>
      <c r="BF24" s="121"/>
      <c r="BG24" s="136"/>
      <c r="BH24" s="182">
        <f>SUM(C24:BD24)</f>
        <v>13</v>
      </c>
      <c r="BI24"/>
      <c r="BJ24"/>
    </row>
    <row r="25" spans="1:62" s="39" customFormat="1" ht="19.5" customHeight="1">
      <c r="A25" s="290" t="s">
        <v>98</v>
      </c>
      <c r="B25" s="95"/>
      <c r="C25" s="189">
        <f>C10*0.1</f>
        <v>0.4</v>
      </c>
      <c r="D25" s="190">
        <f>D10*0.5</f>
        <v>6</v>
      </c>
      <c r="E25" s="190">
        <f>MAX(E10:H10)*0.4</f>
        <v>5.6000000000000005</v>
      </c>
      <c r="F25" s="89"/>
      <c r="G25" s="89"/>
      <c r="H25" s="89"/>
      <c r="I25" s="90"/>
      <c r="J25" s="90"/>
      <c r="K25" s="90"/>
      <c r="L25" s="91"/>
      <c r="M25" s="173">
        <f>SUM(C25:L25)</f>
        <v>12</v>
      </c>
      <c r="N25" s="189">
        <f>N10*0.1</f>
        <v>0.6000000000000001</v>
      </c>
      <c r="O25" s="190">
        <f>O10*0.5</f>
        <v>8</v>
      </c>
      <c r="P25" s="190">
        <f>MAX(P10:S10)*0.4</f>
        <v>5.6000000000000005</v>
      </c>
      <c r="Q25" s="89"/>
      <c r="R25" s="89"/>
      <c r="S25" s="89"/>
      <c r="T25" s="90"/>
      <c r="U25" s="90"/>
      <c r="V25" s="90"/>
      <c r="W25" s="91"/>
      <c r="X25" s="173">
        <f>SUM(N25:W25)</f>
        <v>14.2</v>
      </c>
      <c r="Y25" s="189">
        <f>Y10*0.1</f>
        <v>0</v>
      </c>
      <c r="Z25" s="190">
        <f>Z10*0.5</f>
        <v>0</v>
      </c>
      <c r="AA25" s="190">
        <f>MAX(AA10:AD10)*0.4</f>
        <v>0</v>
      </c>
      <c r="AB25" s="89"/>
      <c r="AC25" s="89"/>
      <c r="AD25" s="89"/>
      <c r="AE25" s="90"/>
      <c r="AF25" s="90"/>
      <c r="AG25" s="90"/>
      <c r="AH25" s="91"/>
      <c r="AI25" s="173">
        <f>SUM(Y25:AH25)</f>
        <v>0</v>
      </c>
      <c r="AJ25" s="189">
        <f>AJ10*0.1</f>
        <v>0.30000000000000004</v>
      </c>
      <c r="AK25" s="190">
        <f>AK10*0.5</f>
        <v>5.5</v>
      </c>
      <c r="AL25" s="190">
        <f>MAX(AL10:AO10)*0.4</f>
        <v>4</v>
      </c>
      <c r="AM25" s="89"/>
      <c r="AN25" s="89"/>
      <c r="AO25" s="89"/>
      <c r="AP25" s="90"/>
      <c r="AQ25" s="90"/>
      <c r="AR25" s="90"/>
      <c r="AS25" s="91"/>
      <c r="AT25" s="173">
        <f>SUM(AJ25:AS25)</f>
        <v>9.8</v>
      </c>
      <c r="AU25" s="189">
        <f>AU10*0.1</f>
        <v>0</v>
      </c>
      <c r="AV25" s="190">
        <f>AV10*0.5</f>
        <v>3.5</v>
      </c>
      <c r="AW25" s="190">
        <f>MAX(AW10:AZ10)*0.4</f>
        <v>0</v>
      </c>
      <c r="AX25" s="89"/>
      <c r="AY25" s="89"/>
      <c r="AZ25" s="89"/>
      <c r="BA25" s="90"/>
      <c r="BB25" s="90"/>
      <c r="BC25" s="90"/>
      <c r="BD25" s="91"/>
      <c r="BE25" s="173">
        <f>SUM(AU25:BD25)</f>
        <v>3.5</v>
      </c>
      <c r="BF25" s="122"/>
      <c r="BG25" s="137"/>
      <c r="BH25" s="183">
        <f>(M25+X25+AI25+AT25+BE25)/5</f>
        <v>7.9</v>
      </c>
      <c r="BI25"/>
      <c r="BJ25"/>
    </row>
    <row r="26" spans="61:62" s="39" customFormat="1" ht="12.75">
      <c r="BI26"/>
      <c r="BJ26"/>
    </row>
    <row r="27" spans="1:62" s="39" customFormat="1" ht="12.75">
      <c r="A27" s="39" t="s">
        <v>171</v>
      </c>
      <c r="BI27"/>
      <c r="BJ27"/>
    </row>
    <row r="28" spans="1:62" s="39" customFormat="1" ht="12.75">
      <c r="A28" s="39" t="s">
        <v>109</v>
      </c>
      <c r="BI28"/>
      <c r="BJ28"/>
    </row>
    <row r="29" spans="1:62" s="39" customFormat="1" ht="12.75">
      <c r="A29" s="39" t="s">
        <v>151</v>
      </c>
      <c r="AW29" s="134"/>
      <c r="BI29"/>
      <c r="BJ29"/>
    </row>
    <row r="30" spans="61:62" s="39" customFormat="1" ht="12.75">
      <c r="BI30"/>
      <c r="BJ30"/>
    </row>
    <row r="31" spans="1:62" s="39" customFormat="1" ht="12.75">
      <c r="A31" s="29" t="s">
        <v>127</v>
      </c>
      <c r="BI31"/>
      <c r="BJ31"/>
    </row>
    <row r="32" spans="61:62" s="39" customFormat="1" ht="12.75">
      <c r="BI32"/>
      <c r="BJ32"/>
    </row>
    <row r="33" spans="61:62" s="39" customFormat="1" ht="12.75">
      <c r="BI33"/>
      <c r="BJ33"/>
    </row>
    <row r="34" spans="61:62" s="39" customFormat="1" ht="12.75">
      <c r="BI34"/>
      <c r="BJ34"/>
    </row>
    <row r="35" spans="61:62" s="39" customFormat="1" ht="12.75">
      <c r="BI35"/>
      <c r="BJ35"/>
    </row>
    <row r="36" spans="61:62" s="39" customFormat="1" ht="12.75">
      <c r="BI36"/>
      <c r="BJ36"/>
    </row>
    <row r="37" spans="61:62" s="39" customFormat="1" ht="12.75">
      <c r="BI37"/>
      <c r="BJ37"/>
    </row>
    <row r="38" spans="61:62" s="39" customFormat="1" ht="12.75">
      <c r="BI38"/>
      <c r="BJ38"/>
    </row>
    <row r="39" spans="61:62" s="39" customFormat="1" ht="12.75">
      <c r="BI39"/>
      <c r="BJ39"/>
    </row>
    <row r="40" spans="61:62" s="39" customFormat="1" ht="12.75">
      <c r="BI40"/>
      <c r="BJ40"/>
    </row>
    <row r="41" spans="12:62" s="39" customFormat="1" ht="12.75">
      <c r="L41" s="52"/>
      <c r="BI41"/>
      <c r="BJ41"/>
    </row>
    <row r="42" spans="61:62" s="39" customFormat="1" ht="12.75">
      <c r="BI42"/>
      <c r="BJ42"/>
    </row>
    <row r="43" spans="61:62" s="39" customFormat="1" ht="12.75">
      <c r="BI43"/>
      <c r="BJ43"/>
    </row>
    <row r="44" spans="61:62" s="39" customFormat="1" ht="12.75">
      <c r="BI44"/>
      <c r="BJ44"/>
    </row>
    <row r="45" spans="61:62" s="39" customFormat="1" ht="12.75">
      <c r="BI45"/>
      <c r="BJ45"/>
    </row>
    <row r="46" spans="61:62" s="39" customFormat="1" ht="12.75">
      <c r="BI46"/>
      <c r="BJ46"/>
    </row>
    <row r="47" spans="61:62" s="39" customFormat="1" ht="12.75">
      <c r="BI47"/>
      <c r="BJ47"/>
    </row>
    <row r="48" spans="61:62" s="39" customFormat="1" ht="12.75">
      <c r="BI48"/>
      <c r="BJ48"/>
    </row>
    <row r="49" spans="61:62" s="39" customFormat="1" ht="12.75">
      <c r="BI49"/>
      <c r="BJ49"/>
    </row>
    <row r="50" spans="61:62" s="39" customFormat="1" ht="12.75">
      <c r="BI50"/>
      <c r="BJ50"/>
    </row>
    <row r="51" spans="61:62" s="39" customFormat="1" ht="12.75">
      <c r="BI51"/>
      <c r="BJ51"/>
    </row>
    <row r="52" spans="61:62" s="39" customFormat="1" ht="12.75">
      <c r="BI52"/>
      <c r="BJ52"/>
    </row>
    <row r="53" spans="61:62" s="39" customFormat="1" ht="12.75">
      <c r="BI53"/>
      <c r="BJ53"/>
    </row>
    <row r="54" spans="61:62" s="39" customFormat="1" ht="12.75">
      <c r="BI54"/>
      <c r="BJ54"/>
    </row>
    <row r="55" spans="61:62" s="39" customFormat="1" ht="12.75">
      <c r="BI55"/>
      <c r="BJ55"/>
    </row>
    <row r="56" spans="61:62" s="39" customFormat="1" ht="12.75">
      <c r="BI56"/>
      <c r="BJ56"/>
    </row>
    <row r="57" spans="61:62" s="39" customFormat="1" ht="12.75">
      <c r="BI57"/>
      <c r="BJ57"/>
    </row>
    <row r="58" spans="61:62" s="39" customFormat="1" ht="12.75">
      <c r="BI58"/>
      <c r="BJ58"/>
    </row>
    <row r="59" spans="61:62" s="39" customFormat="1" ht="12.75">
      <c r="BI59"/>
      <c r="BJ59"/>
    </row>
    <row r="60" spans="61:62" s="39" customFormat="1" ht="12.75">
      <c r="BI60"/>
      <c r="BJ60"/>
    </row>
    <row r="61" spans="61:62" s="39" customFormat="1" ht="12.75">
      <c r="BI61"/>
      <c r="BJ61"/>
    </row>
    <row r="62" spans="61:62" s="39" customFormat="1" ht="12.75">
      <c r="BI62"/>
      <c r="BJ62"/>
    </row>
    <row r="63" spans="61:62" s="39" customFormat="1" ht="12.75">
      <c r="BI63"/>
      <c r="BJ63"/>
    </row>
  </sheetData>
  <printOptions/>
  <pageMargins left="0.5905511811023623" right="0.5905511811023623" top="0.7874015748031497" bottom="0.5905511811023623" header="0.5118110236220472" footer="0.5118110236220472"/>
  <pageSetup fitToHeight="1" fitToWidth="1" orientation="landscape" paperSize="9" scale="4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zoomScale="125" zoomScaleNormal="125" workbookViewId="0" topLeftCell="A10">
      <pane xSplit="1" topLeftCell="B1" activePane="topRight" state="frozen"/>
      <selection pane="topLeft" activeCell="A48" sqref="A48"/>
      <selection pane="topRight" activeCell="A13" sqref="A13"/>
    </sheetView>
  </sheetViews>
  <sheetFormatPr defaultColWidth="11.00390625" defaultRowHeight="12"/>
  <cols>
    <col min="1" max="1" width="28.375" style="12" customWidth="1"/>
    <col min="2" max="2" width="5.50390625" style="12" customWidth="1"/>
    <col min="3" max="12" width="3.875" style="2" customWidth="1"/>
    <col min="13" max="13" width="5.625" style="2" customWidth="1"/>
    <col min="14" max="23" width="3.875" style="39" customWidth="1"/>
    <col min="24" max="24" width="5.625" style="39" customWidth="1"/>
    <col min="25" max="27" width="3.875" style="39" customWidth="1"/>
    <col min="28" max="34" width="3.875" style="2" customWidth="1"/>
    <col min="35" max="35" width="5.625" style="2" customWidth="1"/>
    <col min="36" max="45" width="3.875" style="2" customWidth="1"/>
    <col min="46" max="46" width="5.625" style="2" customWidth="1"/>
    <col min="47" max="56" width="3.875" style="2" customWidth="1"/>
    <col min="57" max="57" width="5.625" style="2" customWidth="1"/>
    <col min="58" max="60" width="5.875" style="2" customWidth="1"/>
    <col min="61" max="16384" width="10.875" style="2" customWidth="1"/>
  </cols>
  <sheetData>
    <row r="1" ht="12">
      <c r="A1" s="12" t="str">
        <f>Basiswerte!A1</f>
        <v>Budgettool zur Berechnung der Betriebskosten einer modularen Tagesstruktur</v>
      </c>
    </row>
    <row r="2" ht="12">
      <c r="A2" s="12" t="str">
        <f>Basiswerte!A2</f>
        <v>Variante Catering</v>
      </c>
    </row>
    <row r="3" spans="1:2" ht="15">
      <c r="A3" s="43"/>
      <c r="B3" s="43"/>
    </row>
    <row r="4" spans="1:27" s="1" customFormat="1" ht="15">
      <c r="A4" s="43" t="s">
        <v>140</v>
      </c>
      <c r="B4" s="43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6" spans="3:59" ht="12">
      <c r="C6" s="63" t="s">
        <v>38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63" t="s">
        <v>13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63" t="s">
        <v>14</v>
      </c>
      <c r="Z6" s="64"/>
      <c r="AA6" s="64"/>
      <c r="AB6" s="64"/>
      <c r="AC6" s="64"/>
      <c r="AD6" s="64"/>
      <c r="AE6" s="64"/>
      <c r="AF6" s="64"/>
      <c r="AG6" s="64"/>
      <c r="AH6" s="64"/>
      <c r="AI6" s="65"/>
      <c r="AJ6" s="63" t="s">
        <v>15</v>
      </c>
      <c r="AK6" s="64"/>
      <c r="AL6" s="64"/>
      <c r="AM6" s="64"/>
      <c r="AN6" s="64"/>
      <c r="AO6" s="64"/>
      <c r="AP6" s="64"/>
      <c r="AQ6" s="64"/>
      <c r="AR6" s="64"/>
      <c r="AS6" s="64"/>
      <c r="AT6" s="65"/>
      <c r="AU6" s="63" t="s">
        <v>61</v>
      </c>
      <c r="AV6" s="64"/>
      <c r="AW6" s="64"/>
      <c r="AX6" s="64"/>
      <c r="AY6" s="64"/>
      <c r="AZ6" s="64"/>
      <c r="BA6" s="64"/>
      <c r="BB6" s="64"/>
      <c r="BC6" s="64"/>
      <c r="BD6" s="64"/>
      <c r="BE6" s="65"/>
      <c r="BF6" s="64" t="s">
        <v>28</v>
      </c>
      <c r="BG6" s="64"/>
    </row>
    <row r="7" spans="1:60" s="8" customFormat="1" ht="33.75">
      <c r="A7" s="8" t="s">
        <v>10</v>
      </c>
      <c r="C7" s="154">
        <v>0.2916666666666667</v>
      </c>
      <c r="D7" s="155">
        <v>0.4895833333333333</v>
      </c>
      <c r="E7" s="155">
        <f aca="true" t="shared" si="0" ref="E7:L7">D8</f>
        <v>0.5625</v>
      </c>
      <c r="F7" s="155">
        <f t="shared" si="0"/>
        <v>0.6284722222222222</v>
      </c>
      <c r="G7" s="155">
        <f t="shared" si="0"/>
        <v>0.6701388888888888</v>
      </c>
      <c r="H7" s="155">
        <f t="shared" si="0"/>
        <v>0.7083333333333334</v>
      </c>
      <c r="I7" s="157">
        <f t="shared" si="0"/>
        <v>0.75</v>
      </c>
      <c r="J7" s="157">
        <f t="shared" si="0"/>
        <v>0.75</v>
      </c>
      <c r="K7" s="157">
        <f t="shared" si="0"/>
        <v>0.75</v>
      </c>
      <c r="L7" s="157">
        <f t="shared" si="0"/>
        <v>0.75</v>
      </c>
      <c r="M7" s="213"/>
      <c r="N7" s="154">
        <v>0.2916666666666667</v>
      </c>
      <c r="O7" s="155">
        <v>0.4895833333333333</v>
      </c>
      <c r="P7" s="155">
        <f aca="true" t="shared" si="1" ref="P7:W7">O8</f>
        <v>0.5625</v>
      </c>
      <c r="Q7" s="155">
        <f t="shared" si="1"/>
        <v>0.6284722222222222</v>
      </c>
      <c r="R7" s="155">
        <f t="shared" si="1"/>
        <v>0.6701388888888888</v>
      </c>
      <c r="S7" s="155">
        <f t="shared" si="1"/>
        <v>0.7083333333333334</v>
      </c>
      <c r="T7" s="157">
        <f t="shared" si="1"/>
        <v>0.75</v>
      </c>
      <c r="U7" s="157">
        <f t="shared" si="1"/>
        <v>0.75</v>
      </c>
      <c r="V7" s="157">
        <f t="shared" si="1"/>
        <v>0.75</v>
      </c>
      <c r="W7" s="157">
        <f t="shared" si="1"/>
        <v>0.75</v>
      </c>
      <c r="X7" s="213"/>
      <c r="Y7" s="156">
        <v>0.2916666666666667</v>
      </c>
      <c r="Z7" s="157">
        <v>0.4895833333333333</v>
      </c>
      <c r="AA7" s="157">
        <f aca="true" t="shared" si="2" ref="AA7:AH7">Z8</f>
        <v>0.5625</v>
      </c>
      <c r="AB7" s="157">
        <f t="shared" si="2"/>
        <v>0.6284722222222222</v>
      </c>
      <c r="AC7" s="157">
        <f t="shared" si="2"/>
        <v>0.6701388888888888</v>
      </c>
      <c r="AD7" s="157">
        <f t="shared" si="2"/>
        <v>0.7083333333333334</v>
      </c>
      <c r="AE7" s="157">
        <f t="shared" si="2"/>
        <v>0.75</v>
      </c>
      <c r="AF7" s="157">
        <f t="shared" si="2"/>
        <v>0.75</v>
      </c>
      <c r="AG7" s="157">
        <f t="shared" si="2"/>
        <v>0.75</v>
      </c>
      <c r="AH7" s="157">
        <f t="shared" si="2"/>
        <v>0.75</v>
      </c>
      <c r="AI7" s="213"/>
      <c r="AJ7" s="156">
        <v>0.2916666666666667</v>
      </c>
      <c r="AK7" s="157">
        <v>0.4895833333333333</v>
      </c>
      <c r="AL7" s="157">
        <f aca="true" t="shared" si="3" ref="AL7:AS7">AK8</f>
        <v>0.5625</v>
      </c>
      <c r="AM7" s="157">
        <f t="shared" si="3"/>
        <v>0.6284722222222222</v>
      </c>
      <c r="AN7" s="157">
        <f t="shared" si="3"/>
        <v>0.6701388888888888</v>
      </c>
      <c r="AO7" s="157">
        <f t="shared" si="3"/>
        <v>0.7083333333333334</v>
      </c>
      <c r="AP7" s="157">
        <f t="shared" si="3"/>
        <v>0.75</v>
      </c>
      <c r="AQ7" s="157">
        <f t="shared" si="3"/>
        <v>0.75</v>
      </c>
      <c r="AR7" s="157">
        <f t="shared" si="3"/>
        <v>0.75</v>
      </c>
      <c r="AS7" s="157">
        <f t="shared" si="3"/>
        <v>0.75</v>
      </c>
      <c r="AT7" s="213"/>
      <c r="AU7" s="156">
        <v>0.2916666666666667</v>
      </c>
      <c r="AV7" s="157">
        <v>0.4895833333333333</v>
      </c>
      <c r="AW7" s="157">
        <f aca="true" t="shared" si="4" ref="AW7:BD7">AV8</f>
        <v>0.5625</v>
      </c>
      <c r="AX7" s="157">
        <f t="shared" si="4"/>
        <v>0.6284722222222222</v>
      </c>
      <c r="AY7" s="157">
        <f t="shared" si="4"/>
        <v>0.6701388888888888</v>
      </c>
      <c r="AZ7" s="157">
        <f t="shared" si="4"/>
        <v>0.7083333333333334</v>
      </c>
      <c r="BA7" s="157">
        <f t="shared" si="4"/>
        <v>0.75</v>
      </c>
      <c r="BB7" s="157">
        <f t="shared" si="4"/>
        <v>0.75</v>
      </c>
      <c r="BC7" s="157">
        <f t="shared" si="4"/>
        <v>0.75</v>
      </c>
      <c r="BD7" s="157">
        <f t="shared" si="4"/>
        <v>0.75</v>
      </c>
      <c r="BE7" s="61"/>
      <c r="BF7" s="114"/>
      <c r="BG7" s="138"/>
      <c r="BH7" s="115"/>
    </row>
    <row r="8" spans="1:60" s="8" customFormat="1" ht="33.75">
      <c r="A8" s="8" t="s">
        <v>11</v>
      </c>
      <c r="C8" s="154">
        <v>0.3333333333333333</v>
      </c>
      <c r="D8" s="155">
        <v>0.5625</v>
      </c>
      <c r="E8" s="155">
        <v>0.6284722222222222</v>
      </c>
      <c r="F8" s="155">
        <v>0.6701388888888888</v>
      </c>
      <c r="G8" s="155">
        <v>0.7083333333333334</v>
      </c>
      <c r="H8" s="155">
        <v>0.75</v>
      </c>
      <c r="I8" s="157">
        <v>0.75</v>
      </c>
      <c r="J8" s="157">
        <v>0.75</v>
      </c>
      <c r="K8" s="157">
        <v>0.75</v>
      </c>
      <c r="L8" s="157">
        <v>0.75</v>
      </c>
      <c r="M8" s="213" t="s">
        <v>9</v>
      </c>
      <c r="N8" s="154">
        <v>0.3333333333333333</v>
      </c>
      <c r="O8" s="155">
        <v>0.5625</v>
      </c>
      <c r="P8" s="155">
        <v>0.6284722222222222</v>
      </c>
      <c r="Q8" s="155">
        <v>0.6701388888888888</v>
      </c>
      <c r="R8" s="155">
        <v>0.7083333333333334</v>
      </c>
      <c r="S8" s="155">
        <v>0.75</v>
      </c>
      <c r="T8" s="157">
        <v>0.75</v>
      </c>
      <c r="U8" s="157">
        <v>0.75</v>
      </c>
      <c r="V8" s="157">
        <v>0.75</v>
      </c>
      <c r="W8" s="157">
        <v>0.75</v>
      </c>
      <c r="X8" s="213" t="s">
        <v>9</v>
      </c>
      <c r="Y8" s="156">
        <v>0.3333333333333333</v>
      </c>
      <c r="Z8" s="157">
        <v>0.5625</v>
      </c>
      <c r="AA8" s="157">
        <v>0.6284722222222222</v>
      </c>
      <c r="AB8" s="157">
        <v>0.6701388888888888</v>
      </c>
      <c r="AC8" s="157">
        <v>0.7083333333333334</v>
      </c>
      <c r="AD8" s="157">
        <v>0.75</v>
      </c>
      <c r="AE8" s="157">
        <v>0.75</v>
      </c>
      <c r="AF8" s="157">
        <v>0.75</v>
      </c>
      <c r="AG8" s="157">
        <v>0.75</v>
      </c>
      <c r="AH8" s="157">
        <v>0.75</v>
      </c>
      <c r="AI8" s="213" t="s">
        <v>9</v>
      </c>
      <c r="AJ8" s="156">
        <v>0.3333333333333333</v>
      </c>
      <c r="AK8" s="157">
        <v>0.5625</v>
      </c>
      <c r="AL8" s="157">
        <v>0.6284722222222222</v>
      </c>
      <c r="AM8" s="157">
        <v>0.6701388888888888</v>
      </c>
      <c r="AN8" s="157">
        <v>0.7083333333333334</v>
      </c>
      <c r="AO8" s="157">
        <v>0.75</v>
      </c>
      <c r="AP8" s="157">
        <v>0.75</v>
      </c>
      <c r="AQ8" s="157">
        <v>0.75</v>
      </c>
      <c r="AR8" s="157">
        <v>0.75</v>
      </c>
      <c r="AS8" s="157">
        <v>0.75</v>
      </c>
      <c r="AT8" s="213" t="s">
        <v>9</v>
      </c>
      <c r="AU8" s="156">
        <v>0.3333333333333333</v>
      </c>
      <c r="AV8" s="157">
        <v>0.5625</v>
      </c>
      <c r="AW8" s="157">
        <v>0.6284722222222222</v>
      </c>
      <c r="AX8" s="157">
        <v>0.6701388888888888</v>
      </c>
      <c r="AY8" s="157">
        <v>0.7083333333333334</v>
      </c>
      <c r="AZ8" s="157">
        <v>0.75</v>
      </c>
      <c r="BA8" s="157">
        <v>0.75</v>
      </c>
      <c r="BB8" s="157">
        <v>0.75</v>
      </c>
      <c r="BC8" s="157">
        <v>0.75</v>
      </c>
      <c r="BD8" s="157">
        <v>0.75</v>
      </c>
      <c r="BE8" s="61" t="s">
        <v>9</v>
      </c>
      <c r="BF8" s="116"/>
      <c r="BG8" s="140" t="s">
        <v>29</v>
      </c>
      <c r="BH8" s="117"/>
    </row>
    <row r="9" spans="1:60" s="8" customFormat="1" ht="12">
      <c r="A9" s="51" t="s">
        <v>12</v>
      </c>
      <c r="B9" s="51"/>
      <c r="C9" s="166">
        <f aca="true" t="shared" si="5" ref="C9:L9">(C8-C7)*24</f>
        <v>0.9999999999999991</v>
      </c>
      <c r="D9" s="167">
        <f t="shared" si="5"/>
        <v>1.7500000000000004</v>
      </c>
      <c r="E9" s="167">
        <f t="shared" si="5"/>
        <v>1.583333333333333</v>
      </c>
      <c r="F9" s="167">
        <f t="shared" si="5"/>
        <v>0.9999999999999991</v>
      </c>
      <c r="G9" s="167">
        <f t="shared" si="5"/>
        <v>0.9166666666666687</v>
      </c>
      <c r="H9" s="167">
        <f t="shared" si="5"/>
        <v>0.9999999999999991</v>
      </c>
      <c r="I9" s="168">
        <f t="shared" si="5"/>
        <v>0</v>
      </c>
      <c r="J9" s="167">
        <f t="shared" si="5"/>
        <v>0</v>
      </c>
      <c r="K9" s="167">
        <f t="shared" si="5"/>
        <v>0</v>
      </c>
      <c r="L9" s="167">
        <f t="shared" si="5"/>
        <v>0</v>
      </c>
      <c r="M9" s="169">
        <f>SUM(C9:H9)</f>
        <v>7.249999999999999</v>
      </c>
      <c r="N9" s="166">
        <f aca="true" t="shared" si="6" ref="N9:W9">(N8-N7)*24</f>
        <v>0.9999999999999991</v>
      </c>
      <c r="O9" s="167">
        <f t="shared" si="6"/>
        <v>1.7500000000000004</v>
      </c>
      <c r="P9" s="167">
        <f t="shared" si="6"/>
        <v>1.583333333333333</v>
      </c>
      <c r="Q9" s="167">
        <f t="shared" si="6"/>
        <v>0.9999999999999991</v>
      </c>
      <c r="R9" s="167">
        <f t="shared" si="6"/>
        <v>0.9166666666666687</v>
      </c>
      <c r="S9" s="167">
        <f t="shared" si="6"/>
        <v>0.9999999999999991</v>
      </c>
      <c r="T9" s="168">
        <f t="shared" si="6"/>
        <v>0</v>
      </c>
      <c r="U9" s="167">
        <f t="shared" si="6"/>
        <v>0</v>
      </c>
      <c r="V9" s="167">
        <f t="shared" si="6"/>
        <v>0</v>
      </c>
      <c r="W9" s="167">
        <f t="shared" si="6"/>
        <v>0</v>
      </c>
      <c r="X9" s="169">
        <f>SUM(N9:S9)</f>
        <v>7.249999999999999</v>
      </c>
      <c r="Y9" s="166">
        <f aca="true" t="shared" si="7" ref="Y9:AH9">(Y8-Y7)*24</f>
        <v>0.9999999999999991</v>
      </c>
      <c r="Z9" s="167">
        <f t="shared" si="7"/>
        <v>1.7500000000000004</v>
      </c>
      <c r="AA9" s="167">
        <f t="shared" si="7"/>
        <v>1.583333333333333</v>
      </c>
      <c r="AB9" s="167">
        <f t="shared" si="7"/>
        <v>0.9999999999999991</v>
      </c>
      <c r="AC9" s="167">
        <f t="shared" si="7"/>
        <v>0.9166666666666687</v>
      </c>
      <c r="AD9" s="167">
        <f t="shared" si="7"/>
        <v>0.9999999999999991</v>
      </c>
      <c r="AE9" s="168">
        <f t="shared" si="7"/>
        <v>0</v>
      </c>
      <c r="AF9" s="167">
        <f t="shared" si="7"/>
        <v>0</v>
      </c>
      <c r="AG9" s="167">
        <f t="shared" si="7"/>
        <v>0</v>
      </c>
      <c r="AH9" s="167">
        <f t="shared" si="7"/>
        <v>0</v>
      </c>
      <c r="AI9" s="169">
        <f>SUM(Y9:AD9)</f>
        <v>7.249999999999999</v>
      </c>
      <c r="AJ9" s="166">
        <f aca="true" t="shared" si="8" ref="AJ9:AS9">(AJ8-AJ7)*24</f>
        <v>0.9999999999999991</v>
      </c>
      <c r="AK9" s="167">
        <f t="shared" si="8"/>
        <v>1.7500000000000004</v>
      </c>
      <c r="AL9" s="167">
        <f t="shared" si="8"/>
        <v>1.583333333333333</v>
      </c>
      <c r="AM9" s="167">
        <f t="shared" si="8"/>
        <v>0.9999999999999991</v>
      </c>
      <c r="AN9" s="167">
        <f t="shared" si="8"/>
        <v>0.9166666666666687</v>
      </c>
      <c r="AO9" s="170">
        <f t="shared" si="8"/>
        <v>0.9999999999999991</v>
      </c>
      <c r="AP9" s="168">
        <f t="shared" si="8"/>
        <v>0</v>
      </c>
      <c r="AQ9" s="167">
        <f t="shared" si="8"/>
        <v>0</v>
      </c>
      <c r="AR9" s="167">
        <f t="shared" si="8"/>
        <v>0</v>
      </c>
      <c r="AS9" s="167">
        <f t="shared" si="8"/>
        <v>0</v>
      </c>
      <c r="AT9" s="169">
        <f>SUM(AJ9:AO9)</f>
        <v>7.249999999999999</v>
      </c>
      <c r="AU9" s="166">
        <f aca="true" t="shared" si="9" ref="AU9:BD9">(AU8-AU7)*24</f>
        <v>0.9999999999999991</v>
      </c>
      <c r="AV9" s="167">
        <f t="shared" si="9"/>
        <v>1.7500000000000004</v>
      </c>
      <c r="AW9" s="167">
        <f t="shared" si="9"/>
        <v>1.583333333333333</v>
      </c>
      <c r="AX9" s="167">
        <f t="shared" si="9"/>
        <v>0.9999999999999991</v>
      </c>
      <c r="AY9" s="167">
        <f t="shared" si="9"/>
        <v>0.9166666666666687</v>
      </c>
      <c r="AZ9" s="167">
        <f t="shared" si="9"/>
        <v>0.9999999999999991</v>
      </c>
      <c r="BA9" s="168">
        <f t="shared" si="9"/>
        <v>0</v>
      </c>
      <c r="BB9" s="167">
        <f t="shared" si="9"/>
        <v>0</v>
      </c>
      <c r="BC9" s="167">
        <f t="shared" si="9"/>
        <v>0</v>
      </c>
      <c r="BD9" s="167">
        <f t="shared" si="9"/>
        <v>0</v>
      </c>
      <c r="BE9" s="169">
        <f>SUM(AU9:AZ9)</f>
        <v>7.249999999999999</v>
      </c>
      <c r="BF9" s="118"/>
      <c r="BG9" s="139"/>
      <c r="BH9" s="171">
        <f>AVERAGE(M9,X9,AI9,AT9,BE9)</f>
        <v>7.249999999999998</v>
      </c>
    </row>
    <row r="10" spans="1:60" s="8" customFormat="1" ht="25.5" customHeight="1">
      <c r="A10" s="70" t="s">
        <v>43</v>
      </c>
      <c r="B10" s="70"/>
      <c r="C10" s="71">
        <f>Nachfrage!C15</f>
        <v>8</v>
      </c>
      <c r="D10" s="72">
        <f>Nachfrage!D15</f>
        <v>22</v>
      </c>
      <c r="E10" s="72">
        <f>Nachfrage!E15</f>
        <v>6</v>
      </c>
      <c r="F10" s="72">
        <f>Nachfrage!F15</f>
        <v>25</v>
      </c>
      <c r="G10" s="72">
        <f>Nachfrage!G15</f>
        <v>25</v>
      </c>
      <c r="H10" s="72">
        <f>Nachfrage!H15</f>
        <v>16</v>
      </c>
      <c r="I10" s="72">
        <f>Nachfrage!I15</f>
        <v>0</v>
      </c>
      <c r="J10" s="72">
        <f>Nachfrage!J15</f>
        <v>0</v>
      </c>
      <c r="K10" s="72">
        <f>Nachfrage!K15</f>
        <v>0</v>
      </c>
      <c r="L10" s="72">
        <f>Nachfrage!L15</f>
        <v>0</v>
      </c>
      <c r="M10" s="212"/>
      <c r="N10" s="71">
        <f>Nachfrage!N15</f>
        <v>11</v>
      </c>
      <c r="O10" s="72">
        <f>Nachfrage!O15</f>
        <v>28</v>
      </c>
      <c r="P10" s="72">
        <f>Nachfrage!P15</f>
        <v>9</v>
      </c>
      <c r="Q10" s="72">
        <f>Nachfrage!Q15</f>
        <v>25</v>
      </c>
      <c r="R10" s="72">
        <f>Nachfrage!R15</f>
        <v>25</v>
      </c>
      <c r="S10" s="72">
        <f>Nachfrage!S15</f>
        <v>14</v>
      </c>
      <c r="T10" s="72">
        <f>Nachfrage!T15</f>
        <v>0</v>
      </c>
      <c r="U10" s="72">
        <f>Nachfrage!U15</f>
        <v>0</v>
      </c>
      <c r="V10" s="72">
        <f>Nachfrage!V15</f>
        <v>0</v>
      </c>
      <c r="W10" s="72">
        <f>Nachfrage!W15</f>
        <v>0</v>
      </c>
      <c r="X10" s="212"/>
      <c r="Y10" s="71">
        <f>Nachfrage!Y15</f>
        <v>7</v>
      </c>
      <c r="Z10" s="72">
        <f>Nachfrage!Z15</f>
        <v>9</v>
      </c>
      <c r="AA10" s="72">
        <f>Nachfrage!AA15</f>
        <v>2</v>
      </c>
      <c r="AB10" s="72">
        <f>Nachfrage!AB15</f>
        <v>9</v>
      </c>
      <c r="AC10" s="72">
        <f>Nachfrage!AC15</f>
        <v>9</v>
      </c>
      <c r="AD10" s="72">
        <f>Nachfrage!AD15</f>
        <v>6</v>
      </c>
      <c r="AE10" s="72">
        <f>Nachfrage!AE15</f>
        <v>0</v>
      </c>
      <c r="AF10" s="72">
        <f>Nachfrage!AF15</f>
        <v>0</v>
      </c>
      <c r="AG10" s="72">
        <f>Nachfrage!AG15</f>
        <v>0</v>
      </c>
      <c r="AH10" s="72">
        <f>Nachfrage!AH15</f>
        <v>0</v>
      </c>
      <c r="AI10" s="212"/>
      <c r="AJ10" s="71">
        <f>Nachfrage!AJ15</f>
        <v>5</v>
      </c>
      <c r="AK10" s="72">
        <f>Nachfrage!AK15</f>
        <v>20</v>
      </c>
      <c r="AL10" s="72">
        <f>Nachfrage!AL15</f>
        <v>4</v>
      </c>
      <c r="AM10" s="72">
        <f>Nachfrage!AM15</f>
        <v>17</v>
      </c>
      <c r="AN10" s="72">
        <f>Nachfrage!AN15</f>
        <v>17</v>
      </c>
      <c r="AO10" s="72">
        <f>Nachfrage!AO15</f>
        <v>11</v>
      </c>
      <c r="AP10" s="72">
        <f>Nachfrage!AP15</f>
        <v>0</v>
      </c>
      <c r="AQ10" s="72">
        <f>Nachfrage!AQ15</f>
        <v>0</v>
      </c>
      <c r="AR10" s="72">
        <f>Nachfrage!AR15</f>
        <v>0</v>
      </c>
      <c r="AS10" s="72">
        <f>Nachfrage!AS15</f>
        <v>0</v>
      </c>
      <c r="AT10" s="212"/>
      <c r="AU10" s="71">
        <v>0</v>
      </c>
      <c r="AV10" s="72">
        <f>Nachfrage!AV15</f>
        <v>12</v>
      </c>
      <c r="AW10" s="72">
        <f>Nachfrage!AW15</f>
        <v>2</v>
      </c>
      <c r="AX10" s="72">
        <f>Nachfrage!AX15</f>
        <v>9</v>
      </c>
      <c r="AY10" s="72">
        <f>Nachfrage!AY15</f>
        <v>9</v>
      </c>
      <c r="AZ10" s="72">
        <f>Nachfrage!AZ15</f>
        <v>5</v>
      </c>
      <c r="BA10" s="72">
        <f>Nachfrage!BA15</f>
        <v>0</v>
      </c>
      <c r="BB10" s="72">
        <f>Nachfrage!BB15</f>
        <v>0</v>
      </c>
      <c r="BC10" s="72">
        <f>Nachfrage!BC15</f>
        <v>0</v>
      </c>
      <c r="BD10" s="72">
        <f>Nachfrage!BD15</f>
        <v>0</v>
      </c>
      <c r="BE10" s="62"/>
      <c r="BF10" s="118"/>
      <c r="BG10" s="139"/>
      <c r="BH10" s="119"/>
    </row>
    <row r="11" spans="1:60" s="197" customFormat="1" ht="19.5" customHeight="1">
      <c r="A11" s="66" t="s">
        <v>71</v>
      </c>
      <c r="B11" s="92" t="s">
        <v>170</v>
      </c>
      <c r="C11" s="193"/>
      <c r="D11" s="194"/>
      <c r="E11" s="194"/>
      <c r="F11" s="194"/>
      <c r="G11" s="194"/>
      <c r="H11" s="194"/>
      <c r="I11" s="194"/>
      <c r="J11" s="194"/>
      <c r="K11" s="194"/>
      <c r="L11" s="195"/>
      <c r="M11" s="198"/>
      <c r="N11" s="193"/>
      <c r="O11" s="194"/>
      <c r="P11" s="194"/>
      <c r="Q11" s="194"/>
      <c r="R11" s="194"/>
      <c r="S11" s="194"/>
      <c r="T11" s="194"/>
      <c r="U11" s="194"/>
      <c r="V11" s="194"/>
      <c r="W11" s="195"/>
      <c r="X11" s="198"/>
      <c r="Y11" s="193"/>
      <c r="Z11" s="194"/>
      <c r="AA11" s="194"/>
      <c r="AB11" s="194"/>
      <c r="AC11" s="194"/>
      <c r="AD11" s="194"/>
      <c r="AE11" s="194"/>
      <c r="AF11" s="194"/>
      <c r="AG11" s="194"/>
      <c r="AH11" s="195"/>
      <c r="AI11" s="198"/>
      <c r="AJ11" s="193"/>
      <c r="AK11" s="194"/>
      <c r="AL11" s="194"/>
      <c r="AM11" s="194"/>
      <c r="AN11" s="194"/>
      <c r="AO11" s="194"/>
      <c r="AP11" s="194"/>
      <c r="AQ11" s="194"/>
      <c r="AR11" s="194"/>
      <c r="AS11" s="195"/>
      <c r="AT11" s="198"/>
      <c r="AU11" s="193"/>
      <c r="AV11" s="194"/>
      <c r="AW11" s="194"/>
      <c r="AX11" s="194"/>
      <c r="AY11" s="194"/>
      <c r="AZ11" s="194"/>
      <c r="BA11" s="194"/>
      <c r="BB11" s="194"/>
      <c r="BC11" s="194"/>
      <c r="BD11" s="195"/>
      <c r="BE11" s="198"/>
      <c r="BF11" s="193" t="s">
        <v>84</v>
      </c>
      <c r="BG11" s="194" t="s">
        <v>85</v>
      </c>
      <c r="BH11" s="195" t="s">
        <v>30</v>
      </c>
    </row>
    <row r="12" spans="1:60" s="83" customFormat="1" ht="19.5" customHeight="1">
      <c r="A12" s="67" t="s">
        <v>67</v>
      </c>
      <c r="B12" s="191" t="s">
        <v>152</v>
      </c>
      <c r="C12" s="160">
        <v>1</v>
      </c>
      <c r="D12" s="161">
        <v>1</v>
      </c>
      <c r="E12" s="161"/>
      <c r="F12" s="161">
        <v>1</v>
      </c>
      <c r="G12" s="161">
        <v>1</v>
      </c>
      <c r="H12" s="161">
        <v>1</v>
      </c>
      <c r="I12" s="161"/>
      <c r="J12" s="161"/>
      <c r="K12" s="161"/>
      <c r="L12" s="162"/>
      <c r="M12" s="172">
        <f aca="true" t="shared" si="10" ref="M12:M17">C12*C$9+D12*D$9+E$9*E12+F12*F$9+G12*G$9+H12*H$9+I12*I$9+J12*J$9+K12*K$9+L12*L$9</f>
        <v>5.666666666666667</v>
      </c>
      <c r="N12" s="160">
        <v>1</v>
      </c>
      <c r="O12" s="161">
        <v>1</v>
      </c>
      <c r="P12" s="161">
        <v>1</v>
      </c>
      <c r="Q12" s="161">
        <v>1</v>
      </c>
      <c r="R12" s="161">
        <v>1</v>
      </c>
      <c r="S12" s="161">
        <v>1</v>
      </c>
      <c r="T12" s="161"/>
      <c r="U12" s="161"/>
      <c r="V12" s="161"/>
      <c r="W12" s="162"/>
      <c r="X12" s="172">
        <f aca="true" t="shared" si="11" ref="X12:X17">N12*N$9+O12*O$9+P$9*P12+Q12*Q$9+R12*R$9+S12*S$9+T12*T$9+U12*U$9+V12*V$9+W12*W$9</f>
        <v>7.249999999999999</v>
      </c>
      <c r="Y12" s="160">
        <v>1</v>
      </c>
      <c r="Z12" s="161">
        <v>1</v>
      </c>
      <c r="AA12" s="161">
        <v>1</v>
      </c>
      <c r="AB12" s="161">
        <v>1</v>
      </c>
      <c r="AC12" s="161">
        <v>1</v>
      </c>
      <c r="AD12" s="161">
        <v>1</v>
      </c>
      <c r="AE12" s="161"/>
      <c r="AF12" s="161"/>
      <c r="AG12" s="161"/>
      <c r="AH12" s="162"/>
      <c r="AI12" s="172">
        <f aca="true" t="shared" si="12" ref="AI12:AI17">Y12*Y$9+Z12*Z$9+AA$9*AA12+AB12*AB$9+AC12*AC$9+AD12*AD$9+AE12*AE$9+AF12*AF$9+AG12*AG$9+AH12*AH$9</f>
        <v>7.249999999999999</v>
      </c>
      <c r="AJ12" s="160">
        <v>1</v>
      </c>
      <c r="AK12" s="161">
        <v>1</v>
      </c>
      <c r="AL12" s="161"/>
      <c r="AM12" s="161">
        <v>1</v>
      </c>
      <c r="AN12" s="161">
        <v>1</v>
      </c>
      <c r="AO12" s="161">
        <v>1</v>
      </c>
      <c r="AP12" s="161"/>
      <c r="AQ12" s="161"/>
      <c r="AR12" s="161"/>
      <c r="AS12" s="162"/>
      <c r="AT12" s="172">
        <f aca="true" t="shared" si="13" ref="AT12:AT17">AJ12*AJ$9+AK12*AK$9+AL$9*AL12+AM12*AM$9+AN12*AN$9+AO12*AO$9+AP12*AP$9+AQ12*AQ$9+AR12*AR$9+AS12*AS$9</f>
        <v>5.666666666666667</v>
      </c>
      <c r="AU12" s="160"/>
      <c r="AV12" s="161">
        <v>1</v>
      </c>
      <c r="AW12" s="161"/>
      <c r="AX12" s="161"/>
      <c r="AY12" s="161"/>
      <c r="AZ12" s="161"/>
      <c r="BA12" s="161"/>
      <c r="BB12" s="161"/>
      <c r="BC12" s="161"/>
      <c r="BD12" s="162"/>
      <c r="BE12" s="172">
        <f aca="true" t="shared" si="14" ref="BE12:BE17">AU12*AU$9+AV12*AV$9+AW$9*AW12+AX12*AX$9+AY12*AY$9+AZ12*AZ$9+BA12*BA$9+BB12*BB$9+BC12*BC$9+BD12*BD$9</f>
        <v>1.7500000000000004</v>
      </c>
      <c r="BF12" s="174">
        <f aca="true" t="shared" si="15" ref="BF12:BF17">IF(B12="N",0,IF(B12="A",BH12,"Bitte Qualifikation in der Spalte B eintragen"))</f>
        <v>27.583333333333332</v>
      </c>
      <c r="BG12" s="175">
        <f aca="true" t="shared" si="16" ref="BG12:BG17">IF(B12="A",0,IF(B12="N",BH12,"Bitte Qualifikation in der Spalte B eintragen"))</f>
        <v>0</v>
      </c>
      <c r="BH12" s="176">
        <f aca="true" t="shared" si="17" ref="BH12:BH17">M12+X12+AI12+AT12+BE12</f>
        <v>27.583333333333332</v>
      </c>
    </row>
    <row r="13" spans="1:60" s="83" customFormat="1" ht="19.5" customHeight="1">
      <c r="A13" s="67" t="s">
        <v>107</v>
      </c>
      <c r="B13" s="191" t="s">
        <v>152</v>
      </c>
      <c r="C13" s="160"/>
      <c r="D13" s="161">
        <v>1</v>
      </c>
      <c r="E13" s="161">
        <v>1</v>
      </c>
      <c r="F13" s="161">
        <v>1</v>
      </c>
      <c r="G13" s="161">
        <v>1</v>
      </c>
      <c r="H13" s="161">
        <v>1</v>
      </c>
      <c r="I13" s="161"/>
      <c r="J13" s="161"/>
      <c r="K13" s="161"/>
      <c r="L13" s="162"/>
      <c r="M13" s="172">
        <f t="shared" si="10"/>
        <v>6.25</v>
      </c>
      <c r="N13" s="160"/>
      <c r="O13" s="161">
        <v>1</v>
      </c>
      <c r="P13" s="161"/>
      <c r="Q13" s="161">
        <v>1</v>
      </c>
      <c r="R13" s="161">
        <v>1</v>
      </c>
      <c r="S13" s="161">
        <v>1</v>
      </c>
      <c r="T13" s="161"/>
      <c r="U13" s="161"/>
      <c r="V13" s="161"/>
      <c r="W13" s="162"/>
      <c r="X13" s="172">
        <f t="shared" si="11"/>
        <v>4.666666666666668</v>
      </c>
      <c r="Y13" s="160"/>
      <c r="Z13" s="161"/>
      <c r="AA13" s="161"/>
      <c r="AB13" s="161"/>
      <c r="AC13" s="161"/>
      <c r="AD13" s="161"/>
      <c r="AE13" s="161"/>
      <c r="AF13" s="161"/>
      <c r="AG13" s="161"/>
      <c r="AH13" s="162"/>
      <c r="AI13" s="172">
        <f t="shared" si="12"/>
        <v>0</v>
      </c>
      <c r="AJ13" s="160"/>
      <c r="AK13" s="161">
        <v>1</v>
      </c>
      <c r="AL13" s="161">
        <v>1</v>
      </c>
      <c r="AM13" s="161">
        <v>1</v>
      </c>
      <c r="AN13" s="161">
        <v>1</v>
      </c>
      <c r="AO13" s="161">
        <v>1</v>
      </c>
      <c r="AP13" s="161"/>
      <c r="AQ13" s="161"/>
      <c r="AR13" s="161"/>
      <c r="AS13" s="162"/>
      <c r="AT13" s="172">
        <f t="shared" si="13"/>
        <v>6.25</v>
      </c>
      <c r="AU13" s="160"/>
      <c r="AV13" s="161">
        <v>1</v>
      </c>
      <c r="AW13" s="161">
        <v>1</v>
      </c>
      <c r="AX13" s="161">
        <v>1</v>
      </c>
      <c r="AY13" s="161">
        <v>1</v>
      </c>
      <c r="AZ13" s="161">
        <v>1</v>
      </c>
      <c r="BA13" s="161"/>
      <c r="BB13" s="161"/>
      <c r="BC13" s="161"/>
      <c r="BD13" s="162"/>
      <c r="BE13" s="172">
        <f t="shared" si="14"/>
        <v>6.25</v>
      </c>
      <c r="BF13" s="174">
        <f t="shared" si="15"/>
        <v>23.416666666666668</v>
      </c>
      <c r="BG13" s="175">
        <f t="shared" si="16"/>
        <v>0</v>
      </c>
      <c r="BH13" s="176">
        <f t="shared" si="17"/>
        <v>23.416666666666668</v>
      </c>
    </row>
    <row r="14" spans="1:60" s="83" customFormat="1" ht="19.5" customHeight="1">
      <c r="A14" s="67" t="s">
        <v>108</v>
      </c>
      <c r="B14" s="191" t="s">
        <v>153</v>
      </c>
      <c r="C14" s="160"/>
      <c r="D14" s="161">
        <v>1</v>
      </c>
      <c r="E14" s="161">
        <v>1</v>
      </c>
      <c r="F14" s="161">
        <v>1</v>
      </c>
      <c r="G14" s="161">
        <v>1</v>
      </c>
      <c r="H14" s="161"/>
      <c r="I14" s="161"/>
      <c r="J14" s="161"/>
      <c r="K14" s="161"/>
      <c r="L14" s="162"/>
      <c r="M14" s="172">
        <f t="shared" si="10"/>
        <v>5.250000000000001</v>
      </c>
      <c r="N14" s="160">
        <v>1</v>
      </c>
      <c r="O14" s="161">
        <v>1</v>
      </c>
      <c r="P14" s="161"/>
      <c r="Q14" s="161">
        <v>1</v>
      </c>
      <c r="R14" s="161">
        <v>1</v>
      </c>
      <c r="S14" s="161"/>
      <c r="T14" s="161"/>
      <c r="U14" s="161"/>
      <c r="V14" s="161"/>
      <c r="W14" s="162"/>
      <c r="X14" s="172">
        <f t="shared" si="11"/>
        <v>4.666666666666668</v>
      </c>
      <c r="Y14" s="160"/>
      <c r="Z14" s="161"/>
      <c r="AA14" s="161"/>
      <c r="AB14" s="161"/>
      <c r="AC14" s="161"/>
      <c r="AD14" s="161"/>
      <c r="AE14" s="161"/>
      <c r="AF14" s="161"/>
      <c r="AG14" s="161"/>
      <c r="AH14" s="162"/>
      <c r="AI14" s="172">
        <f t="shared" si="12"/>
        <v>0</v>
      </c>
      <c r="AJ14" s="160"/>
      <c r="AK14" s="161"/>
      <c r="AL14" s="161"/>
      <c r="AM14" s="161"/>
      <c r="AN14" s="161"/>
      <c r="AO14" s="161"/>
      <c r="AP14" s="161"/>
      <c r="AQ14" s="161"/>
      <c r="AR14" s="161"/>
      <c r="AS14" s="162"/>
      <c r="AT14" s="172">
        <f t="shared" si="13"/>
        <v>0</v>
      </c>
      <c r="AU14" s="160"/>
      <c r="AV14" s="161"/>
      <c r="AW14" s="161"/>
      <c r="AX14" s="161"/>
      <c r="AY14" s="161"/>
      <c r="AZ14" s="161"/>
      <c r="BA14" s="161"/>
      <c r="BB14" s="161"/>
      <c r="BC14" s="161"/>
      <c r="BD14" s="162"/>
      <c r="BE14" s="172">
        <f t="shared" si="14"/>
        <v>0</v>
      </c>
      <c r="BF14" s="174">
        <f t="shared" si="15"/>
        <v>0</v>
      </c>
      <c r="BG14" s="175">
        <f t="shared" si="16"/>
        <v>9.916666666666668</v>
      </c>
      <c r="BH14" s="176">
        <f t="shared" si="17"/>
        <v>9.916666666666668</v>
      </c>
    </row>
    <row r="15" spans="1:60" s="83" customFormat="1" ht="19.5" customHeight="1">
      <c r="A15" s="67" t="s">
        <v>55</v>
      </c>
      <c r="B15" s="191" t="s">
        <v>153</v>
      </c>
      <c r="C15" s="160"/>
      <c r="D15" s="161"/>
      <c r="E15" s="161"/>
      <c r="F15" s="161"/>
      <c r="G15" s="161"/>
      <c r="H15" s="161"/>
      <c r="I15" s="161"/>
      <c r="J15" s="161"/>
      <c r="K15" s="161"/>
      <c r="L15" s="162"/>
      <c r="M15" s="172">
        <f t="shared" si="10"/>
        <v>0</v>
      </c>
      <c r="N15" s="160"/>
      <c r="O15" s="161"/>
      <c r="P15" s="161"/>
      <c r="Q15" s="161"/>
      <c r="R15" s="161"/>
      <c r="S15" s="161"/>
      <c r="T15" s="161"/>
      <c r="U15" s="161"/>
      <c r="V15" s="161"/>
      <c r="W15" s="162"/>
      <c r="X15" s="172">
        <f t="shared" si="11"/>
        <v>0</v>
      </c>
      <c r="Y15" s="160"/>
      <c r="Z15" s="161"/>
      <c r="AA15" s="161"/>
      <c r="AB15" s="161"/>
      <c r="AC15" s="161"/>
      <c r="AD15" s="161"/>
      <c r="AE15" s="161"/>
      <c r="AF15" s="161"/>
      <c r="AG15" s="161"/>
      <c r="AH15" s="162"/>
      <c r="AI15" s="172">
        <f t="shared" si="12"/>
        <v>0</v>
      </c>
      <c r="AJ15" s="160"/>
      <c r="AK15" s="161"/>
      <c r="AL15" s="161"/>
      <c r="AM15" s="161"/>
      <c r="AN15" s="161"/>
      <c r="AO15" s="161"/>
      <c r="AP15" s="161"/>
      <c r="AQ15" s="161"/>
      <c r="AR15" s="161"/>
      <c r="AS15" s="162"/>
      <c r="AT15" s="172">
        <f t="shared" si="13"/>
        <v>0</v>
      </c>
      <c r="AU15" s="160"/>
      <c r="AV15" s="161"/>
      <c r="AW15" s="161"/>
      <c r="AX15" s="161"/>
      <c r="AY15" s="161"/>
      <c r="AZ15" s="161"/>
      <c r="BA15" s="161"/>
      <c r="BB15" s="161"/>
      <c r="BC15" s="161"/>
      <c r="BD15" s="162"/>
      <c r="BE15" s="172">
        <f t="shared" si="14"/>
        <v>0</v>
      </c>
      <c r="BF15" s="174">
        <f t="shared" si="15"/>
        <v>0</v>
      </c>
      <c r="BG15" s="175">
        <f t="shared" si="16"/>
        <v>0</v>
      </c>
      <c r="BH15" s="176">
        <f t="shared" si="17"/>
        <v>0</v>
      </c>
    </row>
    <row r="16" spans="1:60" s="83" customFormat="1" ht="19.5" customHeight="1">
      <c r="A16" s="67" t="s">
        <v>56</v>
      </c>
      <c r="B16" s="191" t="s">
        <v>153</v>
      </c>
      <c r="C16" s="160"/>
      <c r="D16" s="161"/>
      <c r="E16" s="161"/>
      <c r="F16" s="161"/>
      <c r="G16" s="161"/>
      <c r="H16" s="161"/>
      <c r="I16" s="161"/>
      <c r="J16" s="161"/>
      <c r="K16" s="161"/>
      <c r="L16" s="162"/>
      <c r="M16" s="172">
        <f t="shared" si="10"/>
        <v>0</v>
      </c>
      <c r="N16" s="160"/>
      <c r="O16" s="161"/>
      <c r="P16" s="161"/>
      <c r="Q16" s="161"/>
      <c r="R16" s="161"/>
      <c r="S16" s="161"/>
      <c r="T16" s="161"/>
      <c r="U16" s="161"/>
      <c r="V16" s="161"/>
      <c r="W16" s="162"/>
      <c r="X16" s="172">
        <f t="shared" si="11"/>
        <v>0</v>
      </c>
      <c r="Y16" s="160"/>
      <c r="Z16" s="161"/>
      <c r="AA16" s="161"/>
      <c r="AB16" s="161"/>
      <c r="AC16" s="161"/>
      <c r="AD16" s="161"/>
      <c r="AE16" s="161"/>
      <c r="AF16" s="161"/>
      <c r="AG16" s="161"/>
      <c r="AH16" s="162"/>
      <c r="AI16" s="172">
        <f t="shared" si="12"/>
        <v>0</v>
      </c>
      <c r="AJ16" s="160"/>
      <c r="AK16" s="161"/>
      <c r="AL16" s="161"/>
      <c r="AM16" s="161"/>
      <c r="AN16" s="161"/>
      <c r="AO16" s="161"/>
      <c r="AP16" s="161"/>
      <c r="AQ16" s="161"/>
      <c r="AR16" s="161"/>
      <c r="AS16" s="162"/>
      <c r="AT16" s="172">
        <f t="shared" si="13"/>
        <v>0</v>
      </c>
      <c r="AU16" s="160"/>
      <c r="AV16" s="161"/>
      <c r="AW16" s="161"/>
      <c r="AX16" s="161"/>
      <c r="AY16" s="161"/>
      <c r="AZ16" s="161"/>
      <c r="BA16" s="161"/>
      <c r="BB16" s="161"/>
      <c r="BC16" s="161"/>
      <c r="BD16" s="162"/>
      <c r="BE16" s="172">
        <f t="shared" si="14"/>
        <v>0</v>
      </c>
      <c r="BF16" s="174">
        <f t="shared" si="15"/>
        <v>0</v>
      </c>
      <c r="BG16" s="175">
        <f t="shared" si="16"/>
        <v>0</v>
      </c>
      <c r="BH16" s="176">
        <f t="shared" si="17"/>
        <v>0</v>
      </c>
    </row>
    <row r="17" spans="1:60" s="83" customFormat="1" ht="19.5" customHeight="1">
      <c r="A17" s="68" t="s">
        <v>86</v>
      </c>
      <c r="B17" s="191" t="s">
        <v>153</v>
      </c>
      <c r="C17" s="163"/>
      <c r="D17" s="164"/>
      <c r="E17" s="164"/>
      <c r="F17" s="164"/>
      <c r="G17" s="164"/>
      <c r="H17" s="164"/>
      <c r="I17" s="164"/>
      <c r="J17" s="164"/>
      <c r="K17" s="164"/>
      <c r="L17" s="165"/>
      <c r="M17" s="173">
        <f t="shared" si="10"/>
        <v>0</v>
      </c>
      <c r="N17" s="163"/>
      <c r="O17" s="164"/>
      <c r="P17" s="164"/>
      <c r="Q17" s="164"/>
      <c r="R17" s="164"/>
      <c r="S17" s="164"/>
      <c r="T17" s="164"/>
      <c r="U17" s="164"/>
      <c r="V17" s="164"/>
      <c r="W17" s="165"/>
      <c r="X17" s="173">
        <f t="shared" si="11"/>
        <v>0</v>
      </c>
      <c r="Y17" s="163"/>
      <c r="Z17" s="164"/>
      <c r="AA17" s="164"/>
      <c r="AB17" s="164"/>
      <c r="AC17" s="164"/>
      <c r="AD17" s="164"/>
      <c r="AE17" s="164"/>
      <c r="AF17" s="164"/>
      <c r="AG17" s="164"/>
      <c r="AH17" s="165"/>
      <c r="AI17" s="173">
        <f t="shared" si="12"/>
        <v>0</v>
      </c>
      <c r="AJ17" s="163"/>
      <c r="AK17" s="164"/>
      <c r="AL17" s="164"/>
      <c r="AM17" s="164"/>
      <c r="AN17" s="164"/>
      <c r="AO17" s="164"/>
      <c r="AP17" s="164"/>
      <c r="AQ17" s="164"/>
      <c r="AR17" s="164"/>
      <c r="AS17" s="165"/>
      <c r="AT17" s="173">
        <f t="shared" si="13"/>
        <v>0</v>
      </c>
      <c r="AU17" s="163"/>
      <c r="AV17" s="164"/>
      <c r="AW17" s="164"/>
      <c r="AX17" s="164"/>
      <c r="AY17" s="164"/>
      <c r="AZ17" s="164"/>
      <c r="BA17" s="164"/>
      <c r="BB17" s="164"/>
      <c r="BC17" s="164"/>
      <c r="BD17" s="165"/>
      <c r="BE17" s="173">
        <f t="shared" si="14"/>
        <v>0</v>
      </c>
      <c r="BF17" s="177">
        <f t="shared" si="15"/>
        <v>0</v>
      </c>
      <c r="BG17" s="178">
        <f t="shared" si="16"/>
        <v>0</v>
      </c>
      <c r="BH17" s="179">
        <f t="shared" si="17"/>
        <v>0</v>
      </c>
    </row>
    <row r="18" spans="1:60" s="197" customFormat="1" ht="19.5" customHeight="1">
      <c r="A18" s="66" t="s">
        <v>37</v>
      </c>
      <c r="B18" s="92"/>
      <c r="C18" s="193"/>
      <c r="D18" s="194"/>
      <c r="E18" s="194"/>
      <c r="F18" s="194"/>
      <c r="G18" s="194"/>
      <c r="H18" s="194"/>
      <c r="I18" s="194"/>
      <c r="J18" s="194"/>
      <c r="K18" s="194"/>
      <c r="L18" s="195"/>
      <c r="M18" s="198"/>
      <c r="N18" s="193"/>
      <c r="O18" s="194"/>
      <c r="P18" s="194"/>
      <c r="Q18" s="194"/>
      <c r="R18" s="194"/>
      <c r="S18" s="194"/>
      <c r="T18" s="194"/>
      <c r="U18" s="194"/>
      <c r="V18" s="194"/>
      <c r="W18" s="195"/>
      <c r="X18" s="198"/>
      <c r="Y18" s="193"/>
      <c r="Z18" s="194"/>
      <c r="AA18" s="194"/>
      <c r="AB18" s="194"/>
      <c r="AC18" s="194"/>
      <c r="AD18" s="194"/>
      <c r="AE18" s="194"/>
      <c r="AF18" s="194"/>
      <c r="AG18" s="194"/>
      <c r="AH18" s="195"/>
      <c r="AI18" s="198"/>
      <c r="AJ18" s="193"/>
      <c r="AK18" s="194"/>
      <c r="AL18" s="194"/>
      <c r="AM18" s="194"/>
      <c r="AN18" s="194"/>
      <c r="AO18" s="194"/>
      <c r="AP18" s="194"/>
      <c r="AQ18" s="194"/>
      <c r="AR18" s="194"/>
      <c r="AS18" s="195"/>
      <c r="AT18" s="198"/>
      <c r="AU18" s="193"/>
      <c r="AV18" s="194"/>
      <c r="AW18" s="194"/>
      <c r="AX18" s="194"/>
      <c r="AY18" s="194"/>
      <c r="AZ18" s="194"/>
      <c r="BA18" s="194"/>
      <c r="BB18" s="194"/>
      <c r="BC18" s="194"/>
      <c r="BD18" s="195"/>
      <c r="BE18" s="198"/>
      <c r="BF18" s="193"/>
      <c r="BG18" s="194"/>
      <c r="BH18" s="195"/>
    </row>
    <row r="19" spans="1:60" s="39" customFormat="1" ht="19.5" customHeight="1">
      <c r="A19" s="67" t="s">
        <v>8</v>
      </c>
      <c r="B19" s="93"/>
      <c r="C19" s="85"/>
      <c r="D19" s="86"/>
      <c r="E19" s="86"/>
      <c r="F19" s="86"/>
      <c r="G19" s="86"/>
      <c r="H19" s="86"/>
      <c r="I19" s="87"/>
      <c r="J19" s="87"/>
      <c r="K19" s="87"/>
      <c r="L19" s="88"/>
      <c r="M19" s="172">
        <f>SUM(M12:M17)</f>
        <v>17.166666666666668</v>
      </c>
      <c r="N19" s="85"/>
      <c r="O19" s="86"/>
      <c r="P19" s="86"/>
      <c r="Q19" s="86"/>
      <c r="R19" s="86"/>
      <c r="S19" s="86"/>
      <c r="T19" s="87"/>
      <c r="U19" s="87"/>
      <c r="V19" s="87"/>
      <c r="W19" s="88"/>
      <c r="X19" s="172">
        <f>SUM(X12:X17)</f>
        <v>16.583333333333336</v>
      </c>
      <c r="Y19" s="85"/>
      <c r="Z19" s="86"/>
      <c r="AA19" s="86"/>
      <c r="AB19" s="86"/>
      <c r="AC19" s="86"/>
      <c r="AD19" s="86"/>
      <c r="AE19" s="87"/>
      <c r="AF19" s="87"/>
      <c r="AG19" s="87"/>
      <c r="AH19" s="88"/>
      <c r="AI19" s="172">
        <f>SUM(AI12:AI17)</f>
        <v>7.249999999999999</v>
      </c>
      <c r="AJ19" s="85"/>
      <c r="AK19" s="86"/>
      <c r="AL19" s="86"/>
      <c r="AM19" s="86"/>
      <c r="AN19" s="86"/>
      <c r="AO19" s="86"/>
      <c r="AP19" s="87"/>
      <c r="AQ19" s="87"/>
      <c r="AR19" s="87"/>
      <c r="AS19" s="88"/>
      <c r="AT19" s="172">
        <f>SUM(AT12:AT17)</f>
        <v>11.916666666666668</v>
      </c>
      <c r="AU19" s="85"/>
      <c r="AV19" s="86"/>
      <c r="AW19" s="86"/>
      <c r="AX19" s="86"/>
      <c r="AY19" s="86"/>
      <c r="AZ19" s="86"/>
      <c r="BA19" s="87"/>
      <c r="BB19" s="87"/>
      <c r="BC19" s="87"/>
      <c r="BD19" s="88"/>
      <c r="BE19" s="172">
        <f>SUM(BE12:BE17)</f>
        <v>8</v>
      </c>
      <c r="BF19" s="174">
        <f>SUM(BF12:BF17)</f>
        <v>51</v>
      </c>
      <c r="BG19" s="175">
        <f>SUM(BG12:BG17)</f>
        <v>9.916666666666668</v>
      </c>
      <c r="BH19" s="176">
        <f>SUM(BH12:BH17)</f>
        <v>60.91666666666667</v>
      </c>
    </row>
    <row r="20" spans="1:60" s="39" customFormat="1" ht="30" customHeight="1">
      <c r="A20" s="123" t="s">
        <v>124</v>
      </c>
      <c r="B20" s="93"/>
      <c r="C20" s="208"/>
      <c r="D20" s="209"/>
      <c r="E20" s="209"/>
      <c r="F20" s="209"/>
      <c r="G20" s="209"/>
      <c r="H20" s="209"/>
      <c r="I20" s="210"/>
      <c r="J20" s="210"/>
      <c r="K20" s="210"/>
      <c r="L20" s="211"/>
      <c r="M20" s="207"/>
      <c r="N20" s="208"/>
      <c r="O20" s="209"/>
      <c r="P20" s="209"/>
      <c r="Q20" s="209"/>
      <c r="R20" s="209"/>
      <c r="S20" s="209"/>
      <c r="T20" s="210"/>
      <c r="U20" s="210"/>
      <c r="V20" s="210"/>
      <c r="W20" s="211"/>
      <c r="X20" s="207"/>
      <c r="Y20" s="208"/>
      <c r="Z20" s="209"/>
      <c r="AA20" s="209"/>
      <c r="AB20" s="209"/>
      <c r="AC20" s="209"/>
      <c r="AD20" s="209"/>
      <c r="AE20" s="210"/>
      <c r="AF20" s="210"/>
      <c r="AG20" s="210"/>
      <c r="AH20" s="211"/>
      <c r="AI20" s="207"/>
      <c r="AJ20" s="208"/>
      <c r="AK20" s="209"/>
      <c r="AL20" s="209"/>
      <c r="AM20" s="209"/>
      <c r="AN20" s="209"/>
      <c r="AO20" s="209"/>
      <c r="AP20" s="210"/>
      <c r="AQ20" s="210"/>
      <c r="AR20" s="210"/>
      <c r="AS20" s="211"/>
      <c r="AT20" s="207"/>
      <c r="AU20" s="85"/>
      <c r="AV20" s="86"/>
      <c r="AW20" s="86"/>
      <c r="AX20" s="86"/>
      <c r="AY20" s="86"/>
      <c r="AZ20" s="86"/>
      <c r="BA20" s="87"/>
      <c r="BB20" s="87"/>
      <c r="BC20" s="87"/>
      <c r="BD20" s="88"/>
      <c r="BE20" s="84"/>
      <c r="BF20" s="129"/>
      <c r="BG20" s="141"/>
      <c r="BH20" s="180">
        <f>BF19/BH19</f>
        <v>0.8372093023255813</v>
      </c>
    </row>
    <row r="21" spans="1:60" s="39" customFormat="1" ht="19.5" customHeight="1">
      <c r="A21" s="67" t="s">
        <v>87</v>
      </c>
      <c r="B21" s="93"/>
      <c r="C21" s="184">
        <f aca="true" t="shared" si="18" ref="C21:L21">IF(C10=0,"",C10/SUM(C12:C17))</f>
        <v>8</v>
      </c>
      <c r="D21" s="185">
        <f t="shared" si="18"/>
        <v>7.333333333333333</v>
      </c>
      <c r="E21" s="185">
        <f t="shared" si="18"/>
        <v>3</v>
      </c>
      <c r="F21" s="185">
        <f t="shared" si="18"/>
        <v>8.333333333333334</v>
      </c>
      <c r="G21" s="185">
        <f t="shared" si="18"/>
        <v>8.333333333333334</v>
      </c>
      <c r="H21" s="185">
        <f t="shared" si="18"/>
        <v>8</v>
      </c>
      <c r="I21" s="185">
        <f t="shared" si="18"/>
      </c>
      <c r="J21" s="185">
        <f t="shared" si="18"/>
      </c>
      <c r="K21" s="185">
        <f t="shared" si="18"/>
      </c>
      <c r="L21" s="186">
        <f t="shared" si="18"/>
      </c>
      <c r="M21" s="172">
        <f>IF(M22=0,"",M22/M19)</f>
        <v>6.985436893203883</v>
      </c>
      <c r="N21" s="184">
        <f aca="true" t="shared" si="19" ref="N21:W21">IF(N10=0,"",N10/SUM(N12:N17))</f>
        <v>5.5</v>
      </c>
      <c r="O21" s="185">
        <f t="shared" si="19"/>
        <v>9.333333333333334</v>
      </c>
      <c r="P21" s="185">
        <f t="shared" si="19"/>
        <v>9</v>
      </c>
      <c r="Q21" s="185">
        <f t="shared" si="19"/>
        <v>8.333333333333334</v>
      </c>
      <c r="R21" s="185">
        <f t="shared" si="19"/>
        <v>8.333333333333334</v>
      </c>
      <c r="S21" s="185">
        <f t="shared" si="19"/>
        <v>7</v>
      </c>
      <c r="T21" s="185">
        <f t="shared" si="19"/>
      </c>
      <c r="U21" s="185">
        <f t="shared" si="19"/>
      </c>
      <c r="V21" s="185">
        <f t="shared" si="19"/>
      </c>
      <c r="W21" s="186">
        <f t="shared" si="19"/>
      </c>
      <c r="X21" s="172">
        <f>IF(X22=0,"",X22/X19)</f>
        <v>8.21105527638191</v>
      </c>
      <c r="Y21" s="184">
        <f aca="true" t="shared" si="20" ref="Y21:AH21">IF(Y10=0,"",Y10/SUM(Y12:Y17))</f>
        <v>7</v>
      </c>
      <c r="Z21" s="185">
        <f t="shared" si="20"/>
        <v>9</v>
      </c>
      <c r="AA21" s="185">
        <f t="shared" si="20"/>
        <v>2</v>
      </c>
      <c r="AB21" s="185">
        <f t="shared" si="20"/>
        <v>9</v>
      </c>
      <c r="AC21" s="185">
        <f t="shared" si="20"/>
        <v>9</v>
      </c>
      <c r="AD21" s="185">
        <f t="shared" si="20"/>
        <v>6</v>
      </c>
      <c r="AE21" s="185">
        <f t="shared" si="20"/>
      </c>
      <c r="AF21" s="185">
        <f t="shared" si="20"/>
      </c>
      <c r="AG21" s="185">
        <f t="shared" si="20"/>
      </c>
      <c r="AH21" s="186">
        <f t="shared" si="20"/>
      </c>
      <c r="AI21" s="172">
        <f>IF(AI22=0,"",AI22/AI19)</f>
        <v>6.781609195402299</v>
      </c>
      <c r="AJ21" s="184">
        <f aca="true" t="shared" si="21" ref="AJ21:AS21">IF(AJ10=0,"",AJ10/SUM(AJ12:AJ17))</f>
        <v>5</v>
      </c>
      <c r="AK21" s="185">
        <f t="shared" si="21"/>
        <v>10</v>
      </c>
      <c r="AL21" s="185">
        <f t="shared" si="21"/>
        <v>4</v>
      </c>
      <c r="AM21" s="185">
        <f t="shared" si="21"/>
        <v>8.5</v>
      </c>
      <c r="AN21" s="185">
        <f t="shared" si="21"/>
        <v>8.5</v>
      </c>
      <c r="AO21" s="185">
        <f t="shared" si="21"/>
        <v>5.5</v>
      </c>
      <c r="AP21" s="185">
        <f t="shared" si="21"/>
      </c>
      <c r="AQ21" s="185">
        <f t="shared" si="21"/>
      </c>
      <c r="AR21" s="185">
        <f t="shared" si="21"/>
      </c>
      <c r="AS21" s="186">
        <f t="shared" si="21"/>
      </c>
      <c r="AT21" s="172">
        <f>IF(AT22=0,"",AT22/AT19)</f>
        <v>7.545454545454545</v>
      </c>
      <c r="AU21" s="184">
        <f aca="true" t="shared" si="22" ref="AU21:BD21">IF(AU10=0,"",AU10/SUM(AU12:AU17))</f>
      </c>
      <c r="AV21" s="185">
        <f t="shared" si="22"/>
        <v>6</v>
      </c>
      <c r="AW21" s="185">
        <f t="shared" si="22"/>
        <v>2</v>
      </c>
      <c r="AX21" s="185">
        <f t="shared" si="22"/>
        <v>9</v>
      </c>
      <c r="AY21" s="185">
        <f t="shared" si="22"/>
        <v>9</v>
      </c>
      <c r="AZ21" s="185">
        <f t="shared" si="22"/>
        <v>5</v>
      </c>
      <c r="BA21" s="185">
        <f t="shared" si="22"/>
      </c>
      <c r="BB21" s="185">
        <f t="shared" si="22"/>
      </c>
      <c r="BC21" s="185">
        <f t="shared" si="22"/>
      </c>
      <c r="BD21" s="186">
        <f t="shared" si="22"/>
      </c>
      <c r="BE21" s="172">
        <f>IF(BE22=0,"",BE22/BE19)</f>
        <v>5.802083333333335</v>
      </c>
      <c r="BF21" s="120"/>
      <c r="BG21" s="135"/>
      <c r="BH21" s="181">
        <f>BH22/BH19</f>
        <v>7.248974008207935</v>
      </c>
    </row>
    <row r="22" spans="1:60" s="52" customFormat="1" ht="19.5" customHeight="1">
      <c r="A22" s="69" t="s">
        <v>120</v>
      </c>
      <c r="B22" s="94"/>
      <c r="C22" s="184">
        <f aca="true" t="shared" si="23" ref="C22:L22">C10*C9</f>
        <v>7.999999999999993</v>
      </c>
      <c r="D22" s="185">
        <f t="shared" si="23"/>
        <v>38.50000000000001</v>
      </c>
      <c r="E22" s="185">
        <f t="shared" si="23"/>
        <v>9.499999999999998</v>
      </c>
      <c r="F22" s="185">
        <f t="shared" si="23"/>
        <v>24.99999999999998</v>
      </c>
      <c r="G22" s="185">
        <f t="shared" si="23"/>
        <v>22.916666666666718</v>
      </c>
      <c r="H22" s="185">
        <f t="shared" si="23"/>
        <v>15.999999999999986</v>
      </c>
      <c r="I22" s="175">
        <f t="shared" si="23"/>
        <v>0</v>
      </c>
      <c r="J22" s="175">
        <f t="shared" si="23"/>
        <v>0</v>
      </c>
      <c r="K22" s="175">
        <f t="shared" si="23"/>
        <v>0</v>
      </c>
      <c r="L22" s="175">
        <f t="shared" si="23"/>
        <v>0</v>
      </c>
      <c r="M22" s="172">
        <f>SUM(C22:L22)</f>
        <v>119.91666666666667</v>
      </c>
      <c r="N22" s="184">
        <f aca="true" t="shared" si="24" ref="N22:W22">N10*N9</f>
        <v>10.99999999999999</v>
      </c>
      <c r="O22" s="185">
        <f t="shared" si="24"/>
        <v>49.000000000000014</v>
      </c>
      <c r="P22" s="185">
        <f t="shared" si="24"/>
        <v>14.249999999999996</v>
      </c>
      <c r="Q22" s="185">
        <f t="shared" si="24"/>
        <v>24.99999999999998</v>
      </c>
      <c r="R22" s="185">
        <f t="shared" si="24"/>
        <v>22.916666666666718</v>
      </c>
      <c r="S22" s="185">
        <f t="shared" si="24"/>
        <v>13.999999999999988</v>
      </c>
      <c r="T22" s="175">
        <f t="shared" si="24"/>
        <v>0</v>
      </c>
      <c r="U22" s="175">
        <f t="shared" si="24"/>
        <v>0</v>
      </c>
      <c r="V22" s="175">
        <f t="shared" si="24"/>
        <v>0</v>
      </c>
      <c r="W22" s="175">
        <f t="shared" si="24"/>
        <v>0</v>
      </c>
      <c r="X22" s="172">
        <f>SUM(N22:W22)</f>
        <v>136.16666666666669</v>
      </c>
      <c r="Y22" s="184">
        <f aca="true" t="shared" si="25" ref="Y22:AH22">Y10*Y9</f>
        <v>6.999999999999994</v>
      </c>
      <c r="Z22" s="185">
        <f t="shared" si="25"/>
        <v>15.750000000000004</v>
      </c>
      <c r="AA22" s="185">
        <f t="shared" si="25"/>
        <v>3.166666666666666</v>
      </c>
      <c r="AB22" s="185">
        <f t="shared" si="25"/>
        <v>8.999999999999993</v>
      </c>
      <c r="AC22" s="185">
        <f t="shared" si="25"/>
        <v>8.250000000000018</v>
      </c>
      <c r="AD22" s="185">
        <f t="shared" si="25"/>
        <v>5.999999999999995</v>
      </c>
      <c r="AE22" s="175">
        <f t="shared" si="25"/>
        <v>0</v>
      </c>
      <c r="AF22" s="175">
        <f t="shared" si="25"/>
        <v>0</v>
      </c>
      <c r="AG22" s="175">
        <f t="shared" si="25"/>
        <v>0</v>
      </c>
      <c r="AH22" s="175">
        <f t="shared" si="25"/>
        <v>0</v>
      </c>
      <c r="AI22" s="172">
        <f>SUM(Y22:AH22)</f>
        <v>49.166666666666664</v>
      </c>
      <c r="AJ22" s="184">
        <f aca="true" t="shared" si="26" ref="AJ22:AS22">AJ10*AJ9</f>
        <v>4.999999999999996</v>
      </c>
      <c r="AK22" s="185">
        <f t="shared" si="26"/>
        <v>35.00000000000001</v>
      </c>
      <c r="AL22" s="185">
        <f t="shared" si="26"/>
        <v>6.333333333333332</v>
      </c>
      <c r="AM22" s="185">
        <f t="shared" si="26"/>
        <v>16.999999999999986</v>
      </c>
      <c r="AN22" s="185">
        <f t="shared" si="26"/>
        <v>15.583333333333368</v>
      </c>
      <c r="AO22" s="185">
        <f t="shared" si="26"/>
        <v>10.99999999999999</v>
      </c>
      <c r="AP22" s="175">
        <f t="shared" si="26"/>
        <v>0</v>
      </c>
      <c r="AQ22" s="175">
        <f t="shared" si="26"/>
        <v>0</v>
      </c>
      <c r="AR22" s="175">
        <f t="shared" si="26"/>
        <v>0</v>
      </c>
      <c r="AS22" s="175">
        <f t="shared" si="26"/>
        <v>0</v>
      </c>
      <c r="AT22" s="172">
        <f>SUM(AJ22:AS22)</f>
        <v>89.91666666666667</v>
      </c>
      <c r="AU22" s="184">
        <f aca="true" t="shared" si="27" ref="AU22:BD22">AU10*AU9</f>
        <v>0</v>
      </c>
      <c r="AV22" s="185">
        <f t="shared" si="27"/>
        <v>21.000000000000007</v>
      </c>
      <c r="AW22" s="185">
        <f t="shared" si="27"/>
        <v>3.166666666666666</v>
      </c>
      <c r="AX22" s="185">
        <f t="shared" si="27"/>
        <v>8.999999999999993</v>
      </c>
      <c r="AY22" s="185">
        <f t="shared" si="27"/>
        <v>8.250000000000018</v>
      </c>
      <c r="AZ22" s="185">
        <f t="shared" si="27"/>
        <v>4.999999999999996</v>
      </c>
      <c r="BA22" s="175">
        <f t="shared" si="27"/>
        <v>0</v>
      </c>
      <c r="BB22" s="175">
        <f t="shared" si="27"/>
        <v>0</v>
      </c>
      <c r="BC22" s="175">
        <f t="shared" si="27"/>
        <v>0</v>
      </c>
      <c r="BD22" s="175">
        <f t="shared" si="27"/>
        <v>0</v>
      </c>
      <c r="BE22" s="172">
        <f>SUM(AU22:BD22)</f>
        <v>46.41666666666668</v>
      </c>
      <c r="BF22" s="120"/>
      <c r="BG22" s="135"/>
      <c r="BH22" s="181">
        <f>M22+X22+AI22+AT22+BE22</f>
        <v>441.5833333333334</v>
      </c>
    </row>
    <row r="23" spans="1:60" s="39" customFormat="1" ht="19.5" customHeight="1">
      <c r="A23" s="67" t="s">
        <v>110</v>
      </c>
      <c r="B23" s="93"/>
      <c r="C23" s="97"/>
      <c r="D23" s="187">
        <f>D10</f>
        <v>22</v>
      </c>
      <c r="E23" s="98"/>
      <c r="F23" s="98"/>
      <c r="G23" s="98"/>
      <c r="H23" s="98"/>
      <c r="I23" s="98"/>
      <c r="J23" s="98"/>
      <c r="K23" s="98"/>
      <c r="L23" s="99"/>
      <c r="M23" s="204"/>
      <c r="N23" s="97"/>
      <c r="O23" s="187">
        <f>O10</f>
        <v>28</v>
      </c>
      <c r="P23" s="98"/>
      <c r="Q23" s="98"/>
      <c r="R23" s="98"/>
      <c r="S23" s="98"/>
      <c r="T23" s="98"/>
      <c r="U23" s="98"/>
      <c r="V23" s="98"/>
      <c r="W23" s="99"/>
      <c r="X23" s="204"/>
      <c r="Y23" s="97"/>
      <c r="Z23" s="187">
        <f>Z10</f>
        <v>9</v>
      </c>
      <c r="AA23" s="98"/>
      <c r="AB23" s="98"/>
      <c r="AC23" s="98"/>
      <c r="AD23" s="98"/>
      <c r="AE23" s="98"/>
      <c r="AF23" s="98"/>
      <c r="AG23" s="98"/>
      <c r="AH23" s="99"/>
      <c r="AI23" s="204"/>
      <c r="AJ23" s="97"/>
      <c r="AK23" s="187">
        <f>AK10</f>
        <v>20</v>
      </c>
      <c r="AL23" s="98"/>
      <c r="AM23" s="98"/>
      <c r="AN23" s="98"/>
      <c r="AO23" s="98"/>
      <c r="AP23" s="98"/>
      <c r="AQ23" s="98"/>
      <c r="AR23" s="98"/>
      <c r="AS23" s="99"/>
      <c r="AT23" s="204"/>
      <c r="AU23" s="97"/>
      <c r="AV23" s="187">
        <f>AV10</f>
        <v>12</v>
      </c>
      <c r="AW23" s="98"/>
      <c r="AX23" s="98"/>
      <c r="AY23" s="98"/>
      <c r="AZ23" s="98"/>
      <c r="BA23" s="98"/>
      <c r="BB23" s="98"/>
      <c r="BC23" s="98"/>
      <c r="BD23" s="99"/>
      <c r="BE23" s="78"/>
      <c r="BF23" s="121"/>
      <c r="BG23" s="136"/>
      <c r="BH23" s="182">
        <f>SUM(C23:BD23)</f>
        <v>91</v>
      </c>
    </row>
    <row r="24" spans="1:60" s="39" customFormat="1" ht="19.5" customHeight="1">
      <c r="A24" s="67" t="s">
        <v>7</v>
      </c>
      <c r="B24" s="93"/>
      <c r="C24" s="188">
        <f>C10</f>
        <v>8</v>
      </c>
      <c r="D24" s="98"/>
      <c r="E24" s="98"/>
      <c r="F24" s="98"/>
      <c r="G24" s="98"/>
      <c r="H24" s="98"/>
      <c r="I24" s="98"/>
      <c r="J24" s="98"/>
      <c r="K24" s="98"/>
      <c r="L24" s="99"/>
      <c r="M24" s="204"/>
      <c r="N24" s="188">
        <f>N10</f>
        <v>11</v>
      </c>
      <c r="O24" s="98"/>
      <c r="P24" s="98"/>
      <c r="Q24" s="98"/>
      <c r="R24" s="98"/>
      <c r="S24" s="98"/>
      <c r="T24" s="98"/>
      <c r="U24" s="98"/>
      <c r="V24" s="98"/>
      <c r="W24" s="99"/>
      <c r="X24" s="204"/>
      <c r="Y24" s="188">
        <f>Y10</f>
        <v>7</v>
      </c>
      <c r="Z24" s="98"/>
      <c r="AA24" s="98"/>
      <c r="AB24" s="98"/>
      <c r="AC24" s="98"/>
      <c r="AD24" s="98"/>
      <c r="AE24" s="98"/>
      <c r="AF24" s="98"/>
      <c r="AG24" s="98"/>
      <c r="AH24" s="99"/>
      <c r="AI24" s="204"/>
      <c r="AJ24" s="188">
        <f>AJ10</f>
        <v>5</v>
      </c>
      <c r="AK24" s="98"/>
      <c r="AL24" s="98"/>
      <c r="AM24" s="98"/>
      <c r="AN24" s="98"/>
      <c r="AO24" s="98"/>
      <c r="AP24" s="98"/>
      <c r="AQ24" s="98"/>
      <c r="AR24" s="98"/>
      <c r="AS24" s="99"/>
      <c r="AT24" s="204"/>
      <c r="AU24" s="188">
        <f>AU10</f>
        <v>0</v>
      </c>
      <c r="AV24" s="98"/>
      <c r="AW24" s="98"/>
      <c r="AX24" s="98"/>
      <c r="AY24" s="98"/>
      <c r="AZ24" s="98"/>
      <c r="BA24" s="98"/>
      <c r="BB24" s="98"/>
      <c r="BC24" s="98"/>
      <c r="BD24" s="99"/>
      <c r="BE24" s="78"/>
      <c r="BF24" s="121"/>
      <c r="BG24" s="136"/>
      <c r="BH24" s="182">
        <f>SUM(C24:BD24)</f>
        <v>31</v>
      </c>
    </row>
    <row r="25" spans="1:60" s="39" customFormat="1" ht="19.5" customHeight="1">
      <c r="A25" s="290" t="s">
        <v>98</v>
      </c>
      <c r="B25" s="95"/>
      <c r="C25" s="189">
        <f>C10*0.1</f>
        <v>0.8</v>
      </c>
      <c r="D25" s="190">
        <f>D10*0.5</f>
        <v>11</v>
      </c>
      <c r="E25" s="190">
        <f>MAX(E10:H10)*0.4</f>
        <v>10</v>
      </c>
      <c r="F25" s="89"/>
      <c r="G25" s="89"/>
      <c r="H25" s="89"/>
      <c r="I25" s="90"/>
      <c r="J25" s="90"/>
      <c r="K25" s="90"/>
      <c r="L25" s="91"/>
      <c r="M25" s="173">
        <f>SUM(C25:L25)</f>
        <v>21.8</v>
      </c>
      <c r="N25" s="189">
        <f>N10*0.1</f>
        <v>1.1</v>
      </c>
      <c r="O25" s="190">
        <f>O10*0.5</f>
        <v>14</v>
      </c>
      <c r="P25" s="190">
        <f>MAX(P10:S10)*0.4</f>
        <v>10</v>
      </c>
      <c r="Q25" s="89"/>
      <c r="R25" s="89"/>
      <c r="S25" s="89"/>
      <c r="T25" s="90"/>
      <c r="U25" s="90"/>
      <c r="V25" s="90"/>
      <c r="W25" s="91"/>
      <c r="X25" s="173">
        <f>SUM(N25:W25)</f>
        <v>25.1</v>
      </c>
      <c r="Y25" s="189">
        <f>Y10*0.1</f>
        <v>0.7000000000000001</v>
      </c>
      <c r="Z25" s="190">
        <f>Z10*0.5</f>
        <v>4.5</v>
      </c>
      <c r="AA25" s="190">
        <f>MAX(AA10:AD10)*0.4</f>
        <v>3.6</v>
      </c>
      <c r="AB25" s="89"/>
      <c r="AC25" s="89"/>
      <c r="AD25" s="89"/>
      <c r="AE25" s="90"/>
      <c r="AF25" s="90"/>
      <c r="AG25" s="90"/>
      <c r="AH25" s="91"/>
      <c r="AI25" s="173">
        <f>SUM(Y25:AH25)</f>
        <v>8.8</v>
      </c>
      <c r="AJ25" s="189">
        <f>AJ10*0.1</f>
        <v>0.5</v>
      </c>
      <c r="AK25" s="190">
        <f>AK10*0.5</f>
        <v>10</v>
      </c>
      <c r="AL25" s="190">
        <f>MAX(AL10:AO10)*0.4</f>
        <v>6.800000000000001</v>
      </c>
      <c r="AM25" s="89"/>
      <c r="AN25" s="89"/>
      <c r="AO25" s="89"/>
      <c r="AP25" s="90"/>
      <c r="AQ25" s="90"/>
      <c r="AR25" s="90"/>
      <c r="AS25" s="91"/>
      <c r="AT25" s="173">
        <f>SUM(AJ25:AS25)</f>
        <v>17.3</v>
      </c>
      <c r="AU25" s="189">
        <f>AU10*0.1</f>
        <v>0</v>
      </c>
      <c r="AV25" s="190">
        <f>AV10*0.5</f>
        <v>6</v>
      </c>
      <c r="AW25" s="190">
        <f>MAX(AW10:AZ10)*0.4</f>
        <v>3.6</v>
      </c>
      <c r="AX25" s="89"/>
      <c r="AY25" s="89"/>
      <c r="AZ25" s="89"/>
      <c r="BA25" s="90"/>
      <c r="BB25" s="90"/>
      <c r="BC25" s="90"/>
      <c r="BD25" s="91"/>
      <c r="BE25" s="173">
        <f>SUM(AU25:BD25)</f>
        <v>9.6</v>
      </c>
      <c r="BF25" s="122"/>
      <c r="BG25" s="137"/>
      <c r="BH25" s="183">
        <f>(M25+X25+AI25+AT25+BE25)/5</f>
        <v>16.52</v>
      </c>
    </row>
    <row r="26" s="39" customFormat="1" ht="10.5"/>
    <row r="27" s="39" customFormat="1" ht="10.5">
      <c r="A27" s="39" t="s">
        <v>171</v>
      </c>
    </row>
    <row r="28" s="39" customFormat="1" ht="10.5">
      <c r="A28" s="39" t="s">
        <v>109</v>
      </c>
    </row>
    <row r="29" s="39" customFormat="1" ht="10.5">
      <c r="A29" s="39" t="s">
        <v>151</v>
      </c>
    </row>
    <row r="30" s="39" customFormat="1" ht="10.5"/>
    <row r="31" s="39" customFormat="1" ht="10.5"/>
    <row r="32" s="39" customFormat="1" ht="10.5">
      <c r="A32" s="29" t="s">
        <v>127</v>
      </c>
    </row>
    <row r="33" s="39" customFormat="1" ht="10.5"/>
    <row r="34" s="39" customFormat="1" ht="10.5"/>
    <row r="35" s="39" customFormat="1" ht="10.5"/>
    <row r="36" s="39" customFormat="1" ht="10.5"/>
    <row r="37" s="39" customFormat="1" ht="10.5"/>
    <row r="38" s="39" customFormat="1" ht="10.5"/>
    <row r="39" s="39" customFormat="1" ht="10.5"/>
    <row r="40" s="39" customFormat="1" ht="10.5"/>
    <row r="41" s="39" customFormat="1" ht="10.5"/>
    <row r="42" s="39" customFormat="1" ht="10.5"/>
    <row r="43" s="39" customFormat="1" ht="10.5"/>
    <row r="44" s="39" customFormat="1" ht="10.5"/>
    <row r="45" s="39" customFormat="1" ht="10.5"/>
    <row r="46" s="39" customFormat="1" ht="10.5"/>
    <row r="47" s="39" customFormat="1" ht="10.5"/>
    <row r="48" s="39" customFormat="1" ht="10.5"/>
    <row r="49" s="39" customFormat="1" ht="10.5"/>
    <row r="50" s="39" customFormat="1" ht="10.5"/>
    <row r="51" s="39" customFormat="1" ht="10.5"/>
    <row r="52" s="39" customFormat="1" ht="10.5"/>
    <row r="53" s="39" customFormat="1" ht="10.5"/>
    <row r="54" s="39" customFormat="1" ht="10.5"/>
    <row r="55" s="39" customFormat="1" ht="10.5"/>
    <row r="56" s="39" customFormat="1" ht="10.5"/>
    <row r="57" s="39" customFormat="1" ht="10.5"/>
    <row r="58" s="39" customFormat="1" ht="10.5"/>
    <row r="59" s="39" customFormat="1" ht="10.5"/>
    <row r="60" s="39" customFormat="1" ht="10.5"/>
    <row r="61" s="39" customFormat="1" ht="10.5"/>
    <row r="62" s="39" customFormat="1" ht="10.5"/>
    <row r="63" s="39" customFormat="1" ht="10.5"/>
  </sheetData>
  <printOptions/>
  <pageMargins left="0.984251968503937" right="0.5905511811023623" top="0.7874015748031497" bottom="0.5905511811023623" header="0.5118110236220472" footer="0.5118110236220472"/>
  <pageSetup fitToHeight="1" fitToWidth="1" orientation="landscape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3"/>
  <sheetViews>
    <sheetView zoomScale="125" zoomScaleNormal="125" workbookViewId="0" topLeftCell="A1">
      <pane xSplit="1" topLeftCell="V1" activePane="topRight" state="frozen"/>
      <selection pane="topLeft" activeCell="A48" sqref="A48"/>
      <selection pane="topRight" activeCell="A13" sqref="A13"/>
    </sheetView>
  </sheetViews>
  <sheetFormatPr defaultColWidth="11.00390625" defaultRowHeight="12"/>
  <cols>
    <col min="1" max="1" width="28.375" style="12" customWidth="1"/>
    <col min="2" max="2" width="5.50390625" style="12" customWidth="1"/>
    <col min="3" max="12" width="3.875" style="2" customWidth="1"/>
    <col min="13" max="13" width="5.625" style="214" customWidth="1"/>
    <col min="14" max="23" width="3.875" style="39" customWidth="1"/>
    <col min="24" max="24" width="5.625" style="217" customWidth="1"/>
    <col min="25" max="27" width="3.875" style="39" customWidth="1"/>
    <col min="28" max="34" width="3.875" style="2" customWidth="1"/>
    <col min="35" max="35" width="5.625" style="214" customWidth="1"/>
    <col min="36" max="45" width="3.875" style="2" customWidth="1"/>
    <col min="46" max="46" width="5.625" style="214" customWidth="1"/>
    <col min="47" max="56" width="3.875" style="2" customWidth="1"/>
    <col min="57" max="57" width="5.625" style="2" customWidth="1"/>
    <col min="58" max="60" width="5.875" style="2" customWidth="1"/>
    <col min="61" max="16384" width="10.875" style="2" customWidth="1"/>
  </cols>
  <sheetData>
    <row r="1" ht="33">
      <c r="A1" s="29" t="str">
        <f>Basiswerte!A1</f>
        <v>Budgettool zur Berechnung der Betriebskosten einer modularen Tagesstruktur</v>
      </c>
    </row>
    <row r="2" ht="12">
      <c r="A2" s="12" t="str">
        <f>Basiswerte!A2</f>
        <v>Variante Catering</v>
      </c>
    </row>
    <row r="3" spans="1:2" ht="15">
      <c r="A3" s="43"/>
      <c r="B3" s="43"/>
    </row>
    <row r="4" spans="1:46" s="1" customFormat="1" ht="15">
      <c r="A4" s="43" t="s">
        <v>141</v>
      </c>
      <c r="B4" s="43"/>
      <c r="M4" s="215"/>
      <c r="N4" s="39"/>
      <c r="O4" s="39"/>
      <c r="P4" s="39"/>
      <c r="Q4" s="39"/>
      <c r="R4" s="39"/>
      <c r="S4" s="39"/>
      <c r="T4" s="39"/>
      <c r="U4" s="39"/>
      <c r="V4" s="39"/>
      <c r="W4" s="39"/>
      <c r="X4" s="217"/>
      <c r="Y4" s="39"/>
      <c r="Z4" s="39"/>
      <c r="AA4" s="39"/>
      <c r="AI4" s="215"/>
      <c r="AT4" s="215"/>
    </row>
    <row r="6" spans="3:59" ht="12">
      <c r="C6" s="63" t="s">
        <v>38</v>
      </c>
      <c r="D6" s="64"/>
      <c r="E6" s="64"/>
      <c r="F6" s="64"/>
      <c r="G6" s="64"/>
      <c r="H6" s="64"/>
      <c r="I6" s="64"/>
      <c r="J6" s="64"/>
      <c r="K6" s="64"/>
      <c r="L6" s="64"/>
      <c r="M6" s="216"/>
      <c r="N6" s="63" t="s">
        <v>13</v>
      </c>
      <c r="O6" s="64"/>
      <c r="P6" s="64"/>
      <c r="Q6" s="64"/>
      <c r="R6" s="64"/>
      <c r="S6" s="64"/>
      <c r="T6" s="64"/>
      <c r="U6" s="64"/>
      <c r="V6" s="64"/>
      <c r="W6" s="64"/>
      <c r="X6" s="216"/>
      <c r="Y6" s="63" t="s">
        <v>14</v>
      </c>
      <c r="Z6" s="64"/>
      <c r="AA6" s="64"/>
      <c r="AB6" s="64"/>
      <c r="AC6" s="64"/>
      <c r="AD6" s="64"/>
      <c r="AE6" s="64"/>
      <c r="AF6" s="64"/>
      <c r="AG6" s="64"/>
      <c r="AH6" s="64"/>
      <c r="AI6" s="216"/>
      <c r="AJ6" s="63" t="s">
        <v>15</v>
      </c>
      <c r="AK6" s="64"/>
      <c r="AL6" s="64"/>
      <c r="AM6" s="64"/>
      <c r="AN6" s="64"/>
      <c r="AO6" s="64"/>
      <c r="AP6" s="64"/>
      <c r="AQ6" s="64"/>
      <c r="AR6" s="64"/>
      <c r="AS6" s="64"/>
      <c r="AT6" s="216"/>
      <c r="AU6" s="63" t="s">
        <v>61</v>
      </c>
      <c r="AV6" s="64"/>
      <c r="AW6" s="64"/>
      <c r="AX6" s="64"/>
      <c r="AY6" s="64"/>
      <c r="AZ6" s="64"/>
      <c r="BA6" s="64"/>
      <c r="BB6" s="64"/>
      <c r="BC6" s="64"/>
      <c r="BD6" s="64"/>
      <c r="BE6" s="65"/>
      <c r="BF6" s="64" t="s">
        <v>28</v>
      </c>
      <c r="BG6" s="64"/>
    </row>
    <row r="7" spans="1:60" s="8" customFormat="1" ht="33.75">
      <c r="A7" s="8" t="s">
        <v>10</v>
      </c>
      <c r="C7" s="154">
        <v>0.2916666666666667</v>
      </c>
      <c r="D7" s="155">
        <v>0.4895833333333333</v>
      </c>
      <c r="E7" s="155">
        <f aca="true" t="shared" si="0" ref="E7:L7">D8</f>
        <v>0.5625</v>
      </c>
      <c r="F7" s="155">
        <f t="shared" si="0"/>
        <v>0.6284722222222222</v>
      </c>
      <c r="G7" s="155">
        <f t="shared" si="0"/>
        <v>0.6701388888888888</v>
      </c>
      <c r="H7" s="155">
        <f t="shared" si="0"/>
        <v>0.7083333333333334</v>
      </c>
      <c r="I7" s="157">
        <f t="shared" si="0"/>
        <v>0.75</v>
      </c>
      <c r="J7" s="157">
        <f t="shared" si="0"/>
        <v>0.75</v>
      </c>
      <c r="K7" s="157">
        <f t="shared" si="0"/>
        <v>0.75</v>
      </c>
      <c r="L7" s="157">
        <f t="shared" si="0"/>
        <v>0.75</v>
      </c>
      <c r="M7" s="213"/>
      <c r="N7" s="154">
        <v>0.2916666666666667</v>
      </c>
      <c r="O7" s="155">
        <v>0.4895833333333333</v>
      </c>
      <c r="P7" s="155">
        <f aca="true" t="shared" si="1" ref="P7:W7">O8</f>
        <v>0.5625</v>
      </c>
      <c r="Q7" s="155">
        <f t="shared" si="1"/>
        <v>0.6284722222222222</v>
      </c>
      <c r="R7" s="155">
        <f t="shared" si="1"/>
        <v>0.6701388888888888</v>
      </c>
      <c r="S7" s="155">
        <f t="shared" si="1"/>
        <v>0.7083333333333334</v>
      </c>
      <c r="T7" s="157">
        <f t="shared" si="1"/>
        <v>0.75</v>
      </c>
      <c r="U7" s="157">
        <f t="shared" si="1"/>
        <v>0.75</v>
      </c>
      <c r="V7" s="157">
        <f t="shared" si="1"/>
        <v>0.75</v>
      </c>
      <c r="W7" s="157">
        <f t="shared" si="1"/>
        <v>0.75</v>
      </c>
      <c r="X7" s="213"/>
      <c r="Y7" s="156">
        <v>0.2916666666666667</v>
      </c>
      <c r="Z7" s="157">
        <v>0.4895833333333333</v>
      </c>
      <c r="AA7" s="157">
        <f aca="true" t="shared" si="2" ref="AA7:AH7">Z8</f>
        <v>0.5625</v>
      </c>
      <c r="AB7" s="157">
        <f t="shared" si="2"/>
        <v>0.6284722222222222</v>
      </c>
      <c r="AC7" s="157">
        <f t="shared" si="2"/>
        <v>0.6701388888888888</v>
      </c>
      <c r="AD7" s="157">
        <f t="shared" si="2"/>
        <v>0.7083333333333334</v>
      </c>
      <c r="AE7" s="157">
        <f t="shared" si="2"/>
        <v>0.75</v>
      </c>
      <c r="AF7" s="157">
        <f t="shared" si="2"/>
        <v>0.75</v>
      </c>
      <c r="AG7" s="157">
        <f t="shared" si="2"/>
        <v>0.75</v>
      </c>
      <c r="AH7" s="157">
        <f t="shared" si="2"/>
        <v>0.75</v>
      </c>
      <c r="AI7" s="213"/>
      <c r="AJ7" s="156">
        <v>0.2916666666666667</v>
      </c>
      <c r="AK7" s="157">
        <v>0.4895833333333333</v>
      </c>
      <c r="AL7" s="157">
        <f aca="true" t="shared" si="3" ref="AL7:AS7">AK8</f>
        <v>0.5625</v>
      </c>
      <c r="AM7" s="157">
        <f t="shared" si="3"/>
        <v>0.6284722222222222</v>
      </c>
      <c r="AN7" s="157">
        <f t="shared" si="3"/>
        <v>0.6701388888888888</v>
      </c>
      <c r="AO7" s="157">
        <f t="shared" si="3"/>
        <v>0.7083333333333334</v>
      </c>
      <c r="AP7" s="157">
        <f t="shared" si="3"/>
        <v>0.75</v>
      </c>
      <c r="AQ7" s="157">
        <f t="shared" si="3"/>
        <v>0.75</v>
      </c>
      <c r="AR7" s="157">
        <f t="shared" si="3"/>
        <v>0.75</v>
      </c>
      <c r="AS7" s="157">
        <f t="shared" si="3"/>
        <v>0.75</v>
      </c>
      <c r="AT7" s="213"/>
      <c r="AU7" s="156">
        <v>0.2916666666666667</v>
      </c>
      <c r="AV7" s="157">
        <v>0.4895833333333333</v>
      </c>
      <c r="AW7" s="157">
        <f aca="true" t="shared" si="4" ref="AW7:BD7">AV8</f>
        <v>0.5625</v>
      </c>
      <c r="AX7" s="157">
        <f t="shared" si="4"/>
        <v>0.6284722222222222</v>
      </c>
      <c r="AY7" s="157">
        <f t="shared" si="4"/>
        <v>0.6701388888888888</v>
      </c>
      <c r="AZ7" s="157">
        <f t="shared" si="4"/>
        <v>0.7083333333333334</v>
      </c>
      <c r="BA7" s="157">
        <f t="shared" si="4"/>
        <v>0.75</v>
      </c>
      <c r="BB7" s="157">
        <f t="shared" si="4"/>
        <v>0.75</v>
      </c>
      <c r="BC7" s="157">
        <f t="shared" si="4"/>
        <v>0.75</v>
      </c>
      <c r="BD7" s="157">
        <f t="shared" si="4"/>
        <v>0.75</v>
      </c>
      <c r="BE7" s="61"/>
      <c r="BF7" s="114"/>
      <c r="BG7" s="138"/>
      <c r="BH7" s="115"/>
    </row>
    <row r="8" spans="1:60" s="8" customFormat="1" ht="33.75">
      <c r="A8" s="8" t="s">
        <v>11</v>
      </c>
      <c r="C8" s="154">
        <v>0.3333333333333333</v>
      </c>
      <c r="D8" s="155">
        <v>0.5625</v>
      </c>
      <c r="E8" s="155">
        <v>0.6284722222222222</v>
      </c>
      <c r="F8" s="155">
        <v>0.6701388888888888</v>
      </c>
      <c r="G8" s="155">
        <v>0.7083333333333334</v>
      </c>
      <c r="H8" s="155">
        <v>0.75</v>
      </c>
      <c r="I8" s="157">
        <v>0.75</v>
      </c>
      <c r="J8" s="157">
        <v>0.75</v>
      </c>
      <c r="K8" s="157">
        <v>0.75</v>
      </c>
      <c r="L8" s="157">
        <v>0.75</v>
      </c>
      <c r="M8" s="213" t="s">
        <v>9</v>
      </c>
      <c r="N8" s="154">
        <v>0.3333333333333333</v>
      </c>
      <c r="O8" s="155">
        <v>0.5625</v>
      </c>
      <c r="P8" s="155">
        <v>0.6284722222222222</v>
      </c>
      <c r="Q8" s="155">
        <v>0.6701388888888888</v>
      </c>
      <c r="R8" s="155">
        <v>0.7083333333333334</v>
      </c>
      <c r="S8" s="155">
        <v>0.75</v>
      </c>
      <c r="T8" s="157">
        <v>0.75</v>
      </c>
      <c r="U8" s="157">
        <v>0.75</v>
      </c>
      <c r="V8" s="157">
        <v>0.75</v>
      </c>
      <c r="W8" s="157">
        <v>0.75</v>
      </c>
      <c r="X8" s="213" t="s">
        <v>9</v>
      </c>
      <c r="Y8" s="156">
        <v>0.3333333333333333</v>
      </c>
      <c r="Z8" s="157">
        <v>0.5625</v>
      </c>
      <c r="AA8" s="157">
        <v>0.6284722222222222</v>
      </c>
      <c r="AB8" s="157">
        <v>0.6701388888888888</v>
      </c>
      <c r="AC8" s="157">
        <v>0.7083333333333334</v>
      </c>
      <c r="AD8" s="157">
        <v>0.75</v>
      </c>
      <c r="AE8" s="157">
        <v>0.75</v>
      </c>
      <c r="AF8" s="157">
        <v>0.75</v>
      </c>
      <c r="AG8" s="157">
        <v>0.75</v>
      </c>
      <c r="AH8" s="157">
        <v>0.75</v>
      </c>
      <c r="AI8" s="213" t="s">
        <v>9</v>
      </c>
      <c r="AJ8" s="156">
        <v>0.3333333333333333</v>
      </c>
      <c r="AK8" s="157">
        <v>0.5625</v>
      </c>
      <c r="AL8" s="157">
        <v>0.6284722222222222</v>
      </c>
      <c r="AM8" s="157">
        <v>0.6701388888888888</v>
      </c>
      <c r="AN8" s="157">
        <v>0.7083333333333334</v>
      </c>
      <c r="AO8" s="157">
        <v>0.75</v>
      </c>
      <c r="AP8" s="157">
        <v>0.75</v>
      </c>
      <c r="AQ8" s="157">
        <v>0.75</v>
      </c>
      <c r="AR8" s="157">
        <v>0.75</v>
      </c>
      <c r="AS8" s="157">
        <v>0.75</v>
      </c>
      <c r="AT8" s="213" t="s">
        <v>9</v>
      </c>
      <c r="AU8" s="156">
        <v>0.3333333333333333</v>
      </c>
      <c r="AV8" s="157">
        <v>0.5625</v>
      </c>
      <c r="AW8" s="157">
        <v>0.6284722222222222</v>
      </c>
      <c r="AX8" s="157">
        <v>0.6701388888888888</v>
      </c>
      <c r="AY8" s="157">
        <v>0.7083333333333334</v>
      </c>
      <c r="AZ8" s="157">
        <v>0.75</v>
      </c>
      <c r="BA8" s="157">
        <v>0.75</v>
      </c>
      <c r="BB8" s="157">
        <v>0.75</v>
      </c>
      <c r="BC8" s="157">
        <v>0.75</v>
      </c>
      <c r="BD8" s="157">
        <v>0.75</v>
      </c>
      <c r="BE8" s="61" t="s">
        <v>9</v>
      </c>
      <c r="BF8" s="116"/>
      <c r="BG8" s="140" t="s">
        <v>29</v>
      </c>
      <c r="BH8" s="117"/>
    </row>
    <row r="9" spans="1:60" s="8" customFormat="1" ht="12">
      <c r="A9" s="51" t="s">
        <v>12</v>
      </c>
      <c r="B9" s="51"/>
      <c r="C9" s="166">
        <f aca="true" t="shared" si="5" ref="C9:L9">(C8-C7)*24</f>
        <v>0.9999999999999991</v>
      </c>
      <c r="D9" s="167">
        <f t="shared" si="5"/>
        <v>1.7500000000000004</v>
      </c>
      <c r="E9" s="167">
        <f t="shared" si="5"/>
        <v>1.583333333333333</v>
      </c>
      <c r="F9" s="167">
        <f t="shared" si="5"/>
        <v>0.9999999999999991</v>
      </c>
      <c r="G9" s="167">
        <f t="shared" si="5"/>
        <v>0.9166666666666687</v>
      </c>
      <c r="H9" s="167">
        <f t="shared" si="5"/>
        <v>0.9999999999999991</v>
      </c>
      <c r="I9" s="168">
        <f t="shared" si="5"/>
        <v>0</v>
      </c>
      <c r="J9" s="167">
        <f t="shared" si="5"/>
        <v>0</v>
      </c>
      <c r="K9" s="167">
        <f t="shared" si="5"/>
        <v>0</v>
      </c>
      <c r="L9" s="167">
        <f t="shared" si="5"/>
        <v>0</v>
      </c>
      <c r="M9" s="169">
        <f>SUM(C9:H9)</f>
        <v>7.249999999999999</v>
      </c>
      <c r="N9" s="166">
        <f aca="true" t="shared" si="6" ref="N9:W9">(N8-N7)*24</f>
        <v>0.9999999999999991</v>
      </c>
      <c r="O9" s="167">
        <f t="shared" si="6"/>
        <v>1.7500000000000004</v>
      </c>
      <c r="P9" s="167">
        <f t="shared" si="6"/>
        <v>1.583333333333333</v>
      </c>
      <c r="Q9" s="167">
        <f t="shared" si="6"/>
        <v>0.9999999999999991</v>
      </c>
      <c r="R9" s="167">
        <f t="shared" si="6"/>
        <v>0.9166666666666687</v>
      </c>
      <c r="S9" s="167">
        <f t="shared" si="6"/>
        <v>0.9999999999999991</v>
      </c>
      <c r="T9" s="168">
        <f t="shared" si="6"/>
        <v>0</v>
      </c>
      <c r="U9" s="167">
        <f t="shared" si="6"/>
        <v>0</v>
      </c>
      <c r="V9" s="167">
        <f t="shared" si="6"/>
        <v>0</v>
      </c>
      <c r="W9" s="167">
        <f t="shared" si="6"/>
        <v>0</v>
      </c>
      <c r="X9" s="169">
        <f>SUM(N9:S9)</f>
        <v>7.249999999999999</v>
      </c>
      <c r="Y9" s="166">
        <f aca="true" t="shared" si="7" ref="Y9:AH9">(Y8-Y7)*24</f>
        <v>0.9999999999999991</v>
      </c>
      <c r="Z9" s="167">
        <f t="shared" si="7"/>
        <v>1.7500000000000004</v>
      </c>
      <c r="AA9" s="167">
        <f t="shared" si="7"/>
        <v>1.583333333333333</v>
      </c>
      <c r="AB9" s="167">
        <f t="shared" si="7"/>
        <v>0.9999999999999991</v>
      </c>
      <c r="AC9" s="167">
        <f t="shared" si="7"/>
        <v>0.9166666666666687</v>
      </c>
      <c r="AD9" s="167">
        <f t="shared" si="7"/>
        <v>0.9999999999999991</v>
      </c>
      <c r="AE9" s="168">
        <f t="shared" si="7"/>
        <v>0</v>
      </c>
      <c r="AF9" s="167">
        <f t="shared" si="7"/>
        <v>0</v>
      </c>
      <c r="AG9" s="167">
        <f t="shared" si="7"/>
        <v>0</v>
      </c>
      <c r="AH9" s="167">
        <f t="shared" si="7"/>
        <v>0</v>
      </c>
      <c r="AI9" s="169">
        <f>SUM(Y9:AD9)</f>
        <v>7.249999999999999</v>
      </c>
      <c r="AJ9" s="166">
        <f aca="true" t="shared" si="8" ref="AJ9:AS9">(AJ8-AJ7)*24</f>
        <v>0.9999999999999991</v>
      </c>
      <c r="AK9" s="167">
        <f t="shared" si="8"/>
        <v>1.7500000000000004</v>
      </c>
      <c r="AL9" s="167">
        <f t="shared" si="8"/>
        <v>1.583333333333333</v>
      </c>
      <c r="AM9" s="167">
        <f t="shared" si="8"/>
        <v>0.9999999999999991</v>
      </c>
      <c r="AN9" s="167">
        <f t="shared" si="8"/>
        <v>0.9166666666666687</v>
      </c>
      <c r="AO9" s="170">
        <f t="shared" si="8"/>
        <v>0.9999999999999991</v>
      </c>
      <c r="AP9" s="168">
        <f t="shared" si="8"/>
        <v>0</v>
      </c>
      <c r="AQ9" s="167">
        <f t="shared" si="8"/>
        <v>0</v>
      </c>
      <c r="AR9" s="167">
        <f t="shared" si="8"/>
        <v>0</v>
      </c>
      <c r="AS9" s="167">
        <f t="shared" si="8"/>
        <v>0</v>
      </c>
      <c r="AT9" s="169">
        <f>SUM(AJ9:AO9)</f>
        <v>7.249999999999999</v>
      </c>
      <c r="AU9" s="166">
        <f aca="true" t="shared" si="9" ref="AU9:BD9">(AU8-AU7)*24</f>
        <v>0.9999999999999991</v>
      </c>
      <c r="AV9" s="167">
        <f t="shared" si="9"/>
        <v>1.7500000000000004</v>
      </c>
      <c r="AW9" s="167">
        <f t="shared" si="9"/>
        <v>1.583333333333333</v>
      </c>
      <c r="AX9" s="167">
        <f t="shared" si="9"/>
        <v>0.9999999999999991</v>
      </c>
      <c r="AY9" s="167">
        <f t="shared" si="9"/>
        <v>0.9166666666666687</v>
      </c>
      <c r="AZ9" s="167">
        <f t="shared" si="9"/>
        <v>0.9999999999999991</v>
      </c>
      <c r="BA9" s="168">
        <f t="shared" si="9"/>
        <v>0</v>
      </c>
      <c r="BB9" s="167">
        <f t="shared" si="9"/>
        <v>0</v>
      </c>
      <c r="BC9" s="167">
        <f t="shared" si="9"/>
        <v>0</v>
      </c>
      <c r="BD9" s="167">
        <f t="shared" si="9"/>
        <v>0</v>
      </c>
      <c r="BE9" s="169">
        <f>SUM(AU9:AZ9)</f>
        <v>7.249999999999999</v>
      </c>
      <c r="BF9" s="118"/>
      <c r="BG9" s="139"/>
      <c r="BH9" s="171">
        <f>AVERAGE(M9,X9,AI9,AT9,BE9)</f>
        <v>7.249999999999998</v>
      </c>
    </row>
    <row r="10" spans="1:60" s="8" customFormat="1" ht="25.5" customHeight="1">
      <c r="A10" s="70" t="s">
        <v>43</v>
      </c>
      <c r="B10" s="70"/>
      <c r="C10" s="71">
        <f>Nachfrage!C17</f>
        <v>12</v>
      </c>
      <c r="D10" s="72">
        <f>Nachfrage!D17</f>
        <v>32</v>
      </c>
      <c r="E10" s="72">
        <f>Nachfrage!E17</f>
        <v>9</v>
      </c>
      <c r="F10" s="72">
        <f>Nachfrage!F17</f>
        <v>36</v>
      </c>
      <c r="G10" s="72">
        <f>Nachfrage!G17</f>
        <v>36</v>
      </c>
      <c r="H10" s="72">
        <f>Nachfrage!H17</f>
        <v>24</v>
      </c>
      <c r="I10" s="72">
        <f>Nachfrage!I17</f>
        <v>0</v>
      </c>
      <c r="J10" s="72">
        <f>Nachfrage!J17</f>
        <v>0</v>
      </c>
      <c r="K10" s="72">
        <f>Nachfrage!K17</f>
        <v>0</v>
      </c>
      <c r="L10" s="72">
        <f>Nachfrage!L17</f>
        <v>0</v>
      </c>
      <c r="M10" s="212"/>
      <c r="N10" s="71">
        <f>Nachfrage!N17</f>
        <v>16</v>
      </c>
      <c r="O10" s="72">
        <f>Nachfrage!O17</f>
        <v>40</v>
      </c>
      <c r="P10" s="72">
        <f>Nachfrage!P17</f>
        <v>14</v>
      </c>
      <c r="Q10" s="72">
        <f>Nachfrage!Q17</f>
        <v>36</v>
      </c>
      <c r="R10" s="72">
        <f>Nachfrage!R17</f>
        <v>36</v>
      </c>
      <c r="S10" s="72">
        <f>Nachfrage!S17</f>
        <v>21</v>
      </c>
      <c r="T10" s="72">
        <f>Nachfrage!T17</f>
        <v>0</v>
      </c>
      <c r="U10" s="72">
        <f>Nachfrage!U17</f>
        <v>0</v>
      </c>
      <c r="V10" s="72">
        <f>Nachfrage!V17</f>
        <v>0</v>
      </c>
      <c r="W10" s="72">
        <f>Nachfrage!W17</f>
        <v>0</v>
      </c>
      <c r="X10" s="212"/>
      <c r="Y10" s="72">
        <f>Nachfrage!Y17</f>
        <v>10</v>
      </c>
      <c r="Z10" s="72">
        <f>Nachfrage!Z17</f>
        <v>13</v>
      </c>
      <c r="AA10" s="72">
        <f>Nachfrage!AA17</f>
        <v>4</v>
      </c>
      <c r="AB10" s="72">
        <f>Nachfrage!AB17</f>
        <v>13</v>
      </c>
      <c r="AC10" s="72">
        <f>Nachfrage!AC17</f>
        <v>13</v>
      </c>
      <c r="AD10" s="72">
        <f>Nachfrage!AD17</f>
        <v>9</v>
      </c>
      <c r="AE10" s="72">
        <f>Nachfrage!AE17</f>
        <v>0</v>
      </c>
      <c r="AF10" s="72">
        <f>Nachfrage!AF17</f>
        <v>0</v>
      </c>
      <c r="AG10" s="72">
        <f>Nachfrage!AG17</f>
        <v>0</v>
      </c>
      <c r="AH10" s="72">
        <f>Nachfrage!AH17</f>
        <v>0</v>
      </c>
      <c r="AI10" s="212"/>
      <c r="AJ10" s="71">
        <f>Nachfrage!AJ17</f>
        <v>8</v>
      </c>
      <c r="AK10" s="72">
        <f>Nachfrage!AK17</f>
        <v>29</v>
      </c>
      <c r="AL10" s="72">
        <f>Nachfrage!AL17</f>
        <v>7</v>
      </c>
      <c r="AM10" s="72">
        <f>Nachfrage!AM17</f>
        <v>25</v>
      </c>
      <c r="AN10" s="72">
        <f>Nachfrage!AN17</f>
        <v>25</v>
      </c>
      <c r="AO10" s="72">
        <f>Nachfrage!AO17</f>
        <v>17</v>
      </c>
      <c r="AP10" s="72">
        <f>Nachfrage!AP17</f>
        <v>0</v>
      </c>
      <c r="AQ10" s="72">
        <f>Nachfrage!AQ17</f>
        <v>0</v>
      </c>
      <c r="AR10" s="72">
        <f>Nachfrage!AR17</f>
        <v>0</v>
      </c>
      <c r="AS10" s="72">
        <f>Nachfrage!AS17</f>
        <v>0</v>
      </c>
      <c r="AT10" s="212"/>
      <c r="AU10" s="71">
        <f>Nachfrage!AU17</f>
        <v>5</v>
      </c>
      <c r="AV10" s="72">
        <f>Nachfrage!AV17</f>
        <v>18</v>
      </c>
      <c r="AW10" s="72">
        <f>Nachfrage!AW17</f>
        <v>4</v>
      </c>
      <c r="AX10" s="72">
        <f>Nachfrage!AX17</f>
        <v>14</v>
      </c>
      <c r="AY10" s="72">
        <f>Nachfrage!AY17</f>
        <v>14</v>
      </c>
      <c r="AZ10" s="72">
        <f>Nachfrage!AZ17</f>
        <v>8</v>
      </c>
      <c r="BA10" s="72">
        <f>Nachfrage!BA17</f>
        <v>0</v>
      </c>
      <c r="BB10" s="72">
        <f>Nachfrage!BB17</f>
        <v>0</v>
      </c>
      <c r="BC10" s="72">
        <f>Nachfrage!BC17</f>
        <v>0</v>
      </c>
      <c r="BD10" s="72">
        <f>Nachfrage!BD17</f>
        <v>0</v>
      </c>
      <c r="BE10" s="62"/>
      <c r="BF10" s="118"/>
      <c r="BG10" s="139"/>
      <c r="BH10" s="119"/>
    </row>
    <row r="11" spans="1:60" s="197" customFormat="1" ht="19.5" customHeight="1">
      <c r="A11" s="66" t="s">
        <v>71</v>
      </c>
      <c r="B11" s="92" t="s">
        <v>170</v>
      </c>
      <c r="C11" s="193"/>
      <c r="D11" s="194"/>
      <c r="E11" s="194"/>
      <c r="F11" s="194"/>
      <c r="G11" s="194"/>
      <c r="H11" s="194"/>
      <c r="I11" s="194"/>
      <c r="J11" s="194"/>
      <c r="K11" s="194"/>
      <c r="L11" s="195"/>
      <c r="M11" s="198"/>
      <c r="N11" s="193"/>
      <c r="O11" s="194"/>
      <c r="P11" s="194"/>
      <c r="Q11" s="194"/>
      <c r="R11" s="194"/>
      <c r="S11" s="194"/>
      <c r="T11" s="194"/>
      <c r="U11" s="194"/>
      <c r="V11" s="194"/>
      <c r="W11" s="195"/>
      <c r="X11" s="198"/>
      <c r="Y11" s="193"/>
      <c r="Z11" s="194"/>
      <c r="AA11" s="194"/>
      <c r="AB11" s="194"/>
      <c r="AC11" s="194"/>
      <c r="AD11" s="194"/>
      <c r="AE11" s="194"/>
      <c r="AF11" s="194"/>
      <c r="AG11" s="194"/>
      <c r="AH11" s="195"/>
      <c r="AI11" s="198"/>
      <c r="AJ11" s="193"/>
      <c r="AK11" s="194"/>
      <c r="AL11" s="194"/>
      <c r="AM11" s="194"/>
      <c r="AN11" s="194"/>
      <c r="AO11" s="194"/>
      <c r="AP11" s="194"/>
      <c r="AQ11" s="194"/>
      <c r="AR11" s="194"/>
      <c r="AS11" s="195"/>
      <c r="AT11" s="198"/>
      <c r="AU11" s="193"/>
      <c r="AV11" s="194"/>
      <c r="AW11" s="194"/>
      <c r="AX11" s="194"/>
      <c r="AY11" s="194"/>
      <c r="AZ11" s="194"/>
      <c r="BA11" s="194"/>
      <c r="BB11" s="194"/>
      <c r="BC11" s="194"/>
      <c r="BD11" s="195"/>
      <c r="BE11" s="198"/>
      <c r="BF11" s="193" t="s">
        <v>84</v>
      </c>
      <c r="BG11" s="194" t="s">
        <v>85</v>
      </c>
      <c r="BH11" s="195" t="s">
        <v>30</v>
      </c>
    </row>
    <row r="12" spans="1:60" s="83" customFormat="1" ht="19.5" customHeight="1">
      <c r="A12" s="67" t="s">
        <v>67</v>
      </c>
      <c r="B12" s="191" t="s">
        <v>152</v>
      </c>
      <c r="C12" s="160">
        <v>1</v>
      </c>
      <c r="D12" s="161">
        <v>1</v>
      </c>
      <c r="E12" s="161"/>
      <c r="F12" s="161">
        <v>1</v>
      </c>
      <c r="G12" s="161">
        <v>1</v>
      </c>
      <c r="H12" s="161">
        <v>1</v>
      </c>
      <c r="I12" s="161"/>
      <c r="J12" s="161"/>
      <c r="K12" s="161"/>
      <c r="L12" s="162"/>
      <c r="M12" s="172">
        <f aca="true" t="shared" si="10" ref="M12:M17">C12*C$9+D12*D$9+E$9*E12+F12*F$9+G12*G$9+H12*H$9+I12*I$9+J12*J$9+K12*K$9+L12*L$9</f>
        <v>5.666666666666667</v>
      </c>
      <c r="N12" s="160">
        <v>1</v>
      </c>
      <c r="O12" s="161">
        <v>1</v>
      </c>
      <c r="P12" s="161"/>
      <c r="Q12" s="161">
        <v>1</v>
      </c>
      <c r="R12" s="161">
        <v>1</v>
      </c>
      <c r="S12" s="161">
        <v>1</v>
      </c>
      <c r="T12" s="161"/>
      <c r="U12" s="161"/>
      <c r="V12" s="161"/>
      <c r="W12" s="162"/>
      <c r="X12" s="172">
        <f aca="true" t="shared" si="11" ref="X12:X17">N12*N$9+O12*O$9+P$9*P12+Q12*Q$9+R12*R$9+S12*S$9+T12*T$9+U12*U$9+V12*V$9+W12*W$9</f>
        <v>5.666666666666667</v>
      </c>
      <c r="Y12" s="160">
        <v>1</v>
      </c>
      <c r="Z12" s="161">
        <v>1</v>
      </c>
      <c r="AA12" s="161"/>
      <c r="AB12" s="161">
        <v>1</v>
      </c>
      <c r="AC12" s="161">
        <v>1</v>
      </c>
      <c r="AD12" s="161">
        <v>1</v>
      </c>
      <c r="AE12" s="161"/>
      <c r="AF12" s="161"/>
      <c r="AG12" s="161"/>
      <c r="AH12" s="162"/>
      <c r="AI12" s="172">
        <f aca="true" t="shared" si="12" ref="AI12:AI17">Y12*Y$9+Z12*Z$9+AA$9*AA12+AB12*AB$9+AC12*AC$9+AD12*AD$9+AE12*AE$9+AF12*AF$9+AG12*AG$9+AH12*AH$9</f>
        <v>5.666666666666667</v>
      </c>
      <c r="AJ12" s="160">
        <v>1</v>
      </c>
      <c r="AK12" s="161">
        <v>1</v>
      </c>
      <c r="AL12" s="161"/>
      <c r="AM12" s="161">
        <v>1</v>
      </c>
      <c r="AN12" s="161">
        <v>1</v>
      </c>
      <c r="AO12" s="161">
        <v>1</v>
      </c>
      <c r="AP12" s="161"/>
      <c r="AQ12" s="161"/>
      <c r="AR12" s="161"/>
      <c r="AS12" s="162"/>
      <c r="AT12" s="172">
        <f aca="true" t="shared" si="13" ref="AT12:AT17">AJ12*AJ$9+AK12*AK$9+AL$9*AL12+AM12*AM$9+AN12*AN$9+AO12*AO$9+AP12*AP$9+AQ12*AQ$9+AR12*AR$9+AS12*AS$9</f>
        <v>5.666666666666667</v>
      </c>
      <c r="AU12" s="160"/>
      <c r="AV12" s="161">
        <v>1</v>
      </c>
      <c r="AW12" s="161"/>
      <c r="AX12" s="161">
        <v>1</v>
      </c>
      <c r="AY12" s="161">
        <v>1</v>
      </c>
      <c r="AZ12" s="161">
        <v>1</v>
      </c>
      <c r="BA12" s="161"/>
      <c r="BB12" s="161"/>
      <c r="BC12" s="161"/>
      <c r="BD12" s="162"/>
      <c r="BE12" s="172">
        <f aca="true" t="shared" si="14" ref="BE12:BE17">AU12*AU$9+AV12*AV$9+AW$9*AW12+AX12*AX$9+AY12*AY$9+AZ12*AZ$9+BA12*BA$9+BB12*BB$9+BC12*BC$9+BD12*BD$9</f>
        <v>4.666666666666668</v>
      </c>
      <c r="BF12" s="174">
        <f aca="true" t="shared" si="15" ref="BF12:BF17">IF(B12="N",0,IF(B12="A",BH12,"Bitte Qualifikation in der Spalte B eintragen"))</f>
        <v>27.333333333333336</v>
      </c>
      <c r="BG12" s="175">
        <f aca="true" t="shared" si="16" ref="BG12:BG17">IF(B12="A",0,IF(B12="N",BH12,"Bitte Qualifikation in der Spalte B eintragen"))</f>
        <v>0</v>
      </c>
      <c r="BH12" s="176">
        <f aca="true" t="shared" si="17" ref="BH12:BH17">M12+X12+AI12+AT12+BE12</f>
        <v>27.333333333333336</v>
      </c>
    </row>
    <row r="13" spans="1:60" s="83" customFormat="1" ht="19.5" customHeight="1">
      <c r="A13" s="67" t="s">
        <v>107</v>
      </c>
      <c r="B13" s="191" t="s">
        <v>152</v>
      </c>
      <c r="C13" s="160"/>
      <c r="D13" s="161">
        <v>1</v>
      </c>
      <c r="E13" s="161">
        <v>1</v>
      </c>
      <c r="F13" s="161">
        <v>1</v>
      </c>
      <c r="G13" s="161">
        <v>1</v>
      </c>
      <c r="H13" s="161">
        <v>1</v>
      </c>
      <c r="I13" s="161"/>
      <c r="J13" s="161"/>
      <c r="K13" s="161"/>
      <c r="L13" s="162"/>
      <c r="M13" s="172">
        <f t="shared" si="10"/>
        <v>6.25</v>
      </c>
      <c r="N13" s="160"/>
      <c r="O13" s="161">
        <v>1</v>
      </c>
      <c r="P13" s="161">
        <v>1</v>
      </c>
      <c r="Q13" s="161">
        <v>1</v>
      </c>
      <c r="R13" s="161">
        <v>1</v>
      </c>
      <c r="S13" s="161">
        <v>1</v>
      </c>
      <c r="T13" s="161"/>
      <c r="U13" s="161"/>
      <c r="V13" s="161"/>
      <c r="W13" s="162"/>
      <c r="X13" s="172">
        <f t="shared" si="11"/>
        <v>6.25</v>
      </c>
      <c r="Y13" s="160"/>
      <c r="Z13" s="161"/>
      <c r="AA13" s="161"/>
      <c r="AB13" s="161"/>
      <c r="AC13" s="161"/>
      <c r="AD13" s="161"/>
      <c r="AE13" s="161"/>
      <c r="AF13" s="161"/>
      <c r="AG13" s="161"/>
      <c r="AH13" s="162"/>
      <c r="AI13" s="172">
        <f t="shared" si="12"/>
        <v>0</v>
      </c>
      <c r="AJ13" s="160"/>
      <c r="AK13" s="161">
        <v>1</v>
      </c>
      <c r="AL13" s="161">
        <v>1</v>
      </c>
      <c r="AM13" s="161">
        <v>1</v>
      </c>
      <c r="AN13" s="161">
        <v>1</v>
      </c>
      <c r="AO13" s="161">
        <v>1</v>
      </c>
      <c r="AP13" s="161"/>
      <c r="AQ13" s="161"/>
      <c r="AR13" s="161"/>
      <c r="AS13" s="162"/>
      <c r="AT13" s="172">
        <f t="shared" si="13"/>
        <v>6.25</v>
      </c>
      <c r="AU13" s="160">
        <v>1</v>
      </c>
      <c r="AV13" s="161">
        <v>1</v>
      </c>
      <c r="AW13" s="161">
        <v>1</v>
      </c>
      <c r="AX13" s="161">
        <v>1</v>
      </c>
      <c r="AY13" s="161">
        <v>1</v>
      </c>
      <c r="AZ13" s="161"/>
      <c r="BA13" s="161"/>
      <c r="BB13" s="161"/>
      <c r="BC13" s="161"/>
      <c r="BD13" s="162"/>
      <c r="BE13" s="172">
        <f t="shared" si="14"/>
        <v>6.25</v>
      </c>
      <c r="BF13" s="174">
        <f t="shared" si="15"/>
        <v>25</v>
      </c>
      <c r="BG13" s="175">
        <f t="shared" si="16"/>
        <v>0</v>
      </c>
      <c r="BH13" s="176">
        <f t="shared" si="17"/>
        <v>25</v>
      </c>
    </row>
    <row r="14" spans="1:60" s="83" customFormat="1" ht="19.5" customHeight="1">
      <c r="A14" s="67" t="s">
        <v>108</v>
      </c>
      <c r="B14" s="191" t="s">
        <v>153</v>
      </c>
      <c r="C14" s="160">
        <v>1</v>
      </c>
      <c r="D14" s="161">
        <v>1</v>
      </c>
      <c r="E14" s="161">
        <v>1</v>
      </c>
      <c r="F14" s="161">
        <v>1</v>
      </c>
      <c r="G14" s="161">
        <v>1</v>
      </c>
      <c r="H14" s="161">
        <v>1</v>
      </c>
      <c r="I14" s="161"/>
      <c r="J14" s="161"/>
      <c r="K14" s="161"/>
      <c r="L14" s="162"/>
      <c r="M14" s="172">
        <f t="shared" si="10"/>
        <v>7.249999999999999</v>
      </c>
      <c r="N14" s="160">
        <v>1</v>
      </c>
      <c r="O14" s="161">
        <v>1</v>
      </c>
      <c r="P14" s="161">
        <v>1</v>
      </c>
      <c r="Q14" s="161">
        <v>1</v>
      </c>
      <c r="R14" s="161">
        <v>1</v>
      </c>
      <c r="S14" s="161">
        <v>1</v>
      </c>
      <c r="T14" s="161"/>
      <c r="U14" s="161"/>
      <c r="V14" s="161"/>
      <c r="W14" s="162"/>
      <c r="X14" s="172">
        <f t="shared" si="11"/>
        <v>7.249999999999999</v>
      </c>
      <c r="Y14" s="160"/>
      <c r="Z14" s="161">
        <v>1</v>
      </c>
      <c r="AA14" s="161">
        <v>1</v>
      </c>
      <c r="AB14" s="161">
        <v>1</v>
      </c>
      <c r="AC14" s="161">
        <v>1</v>
      </c>
      <c r="AD14" s="161"/>
      <c r="AE14" s="161"/>
      <c r="AF14" s="161"/>
      <c r="AG14" s="161"/>
      <c r="AH14" s="162"/>
      <c r="AI14" s="172">
        <f t="shared" si="12"/>
        <v>5.250000000000001</v>
      </c>
      <c r="AJ14" s="160"/>
      <c r="AK14" s="161">
        <v>1</v>
      </c>
      <c r="AL14" s="161"/>
      <c r="AM14" s="161">
        <v>1</v>
      </c>
      <c r="AN14" s="161">
        <v>1</v>
      </c>
      <c r="AO14" s="161"/>
      <c r="AP14" s="161"/>
      <c r="AQ14" s="161"/>
      <c r="AR14" s="161"/>
      <c r="AS14" s="162"/>
      <c r="AT14" s="172">
        <f t="shared" si="13"/>
        <v>3.6666666666666683</v>
      </c>
      <c r="AU14" s="160"/>
      <c r="AV14" s="161"/>
      <c r="AW14" s="161"/>
      <c r="AX14" s="161"/>
      <c r="AY14" s="161"/>
      <c r="AZ14" s="161"/>
      <c r="BA14" s="161"/>
      <c r="BB14" s="161"/>
      <c r="BC14" s="161"/>
      <c r="BD14" s="162"/>
      <c r="BE14" s="172">
        <f t="shared" si="14"/>
        <v>0</v>
      </c>
      <c r="BF14" s="174">
        <f t="shared" si="15"/>
        <v>0</v>
      </c>
      <c r="BG14" s="175">
        <f t="shared" si="16"/>
        <v>23.416666666666668</v>
      </c>
      <c r="BH14" s="176">
        <f t="shared" si="17"/>
        <v>23.416666666666668</v>
      </c>
    </row>
    <row r="15" spans="1:60" s="83" customFormat="1" ht="19.5" customHeight="1">
      <c r="A15" s="67" t="s">
        <v>55</v>
      </c>
      <c r="B15" s="191" t="s">
        <v>153</v>
      </c>
      <c r="C15" s="160"/>
      <c r="D15" s="161">
        <v>1</v>
      </c>
      <c r="E15" s="161"/>
      <c r="F15" s="161">
        <v>1</v>
      </c>
      <c r="G15" s="161">
        <v>1</v>
      </c>
      <c r="H15" s="161"/>
      <c r="I15" s="161"/>
      <c r="J15" s="161"/>
      <c r="K15" s="161"/>
      <c r="L15" s="162"/>
      <c r="M15" s="172">
        <f t="shared" si="10"/>
        <v>3.6666666666666683</v>
      </c>
      <c r="N15" s="160"/>
      <c r="O15" s="161">
        <v>1</v>
      </c>
      <c r="P15" s="161"/>
      <c r="Q15" s="161">
        <v>1</v>
      </c>
      <c r="R15" s="161">
        <v>1</v>
      </c>
      <c r="S15" s="161"/>
      <c r="T15" s="161"/>
      <c r="U15" s="161"/>
      <c r="V15" s="161"/>
      <c r="W15" s="162"/>
      <c r="X15" s="172">
        <f t="shared" si="11"/>
        <v>3.6666666666666683</v>
      </c>
      <c r="Y15" s="160"/>
      <c r="Z15" s="161"/>
      <c r="AA15" s="161"/>
      <c r="AB15" s="161"/>
      <c r="AC15" s="161"/>
      <c r="AD15" s="161"/>
      <c r="AE15" s="161"/>
      <c r="AF15" s="161"/>
      <c r="AG15" s="161"/>
      <c r="AH15" s="162"/>
      <c r="AI15" s="172">
        <f t="shared" si="12"/>
        <v>0</v>
      </c>
      <c r="AJ15" s="160"/>
      <c r="AK15" s="161"/>
      <c r="AL15" s="161"/>
      <c r="AM15" s="161"/>
      <c r="AN15" s="161"/>
      <c r="AO15" s="161"/>
      <c r="AP15" s="161"/>
      <c r="AQ15" s="161"/>
      <c r="AR15" s="161"/>
      <c r="AS15" s="162"/>
      <c r="AT15" s="172">
        <f t="shared" si="13"/>
        <v>0</v>
      </c>
      <c r="AU15" s="160"/>
      <c r="AV15" s="161"/>
      <c r="AW15" s="161"/>
      <c r="AX15" s="161"/>
      <c r="AY15" s="161"/>
      <c r="AZ15" s="161"/>
      <c r="BA15" s="161"/>
      <c r="BB15" s="161"/>
      <c r="BC15" s="161"/>
      <c r="BD15" s="162"/>
      <c r="BE15" s="172">
        <f t="shared" si="14"/>
        <v>0</v>
      </c>
      <c r="BF15" s="174">
        <f t="shared" si="15"/>
        <v>0</v>
      </c>
      <c r="BG15" s="175">
        <f t="shared" si="16"/>
        <v>7.333333333333337</v>
      </c>
      <c r="BH15" s="176">
        <f t="shared" si="17"/>
        <v>7.333333333333337</v>
      </c>
    </row>
    <row r="16" spans="1:60" s="83" customFormat="1" ht="19.5" customHeight="1">
      <c r="A16" s="67" t="s">
        <v>56</v>
      </c>
      <c r="B16" s="191" t="s">
        <v>153</v>
      </c>
      <c r="C16" s="160"/>
      <c r="D16" s="161"/>
      <c r="E16" s="161"/>
      <c r="F16" s="161"/>
      <c r="G16" s="161"/>
      <c r="H16" s="161"/>
      <c r="I16" s="161"/>
      <c r="J16" s="161"/>
      <c r="K16" s="161"/>
      <c r="L16" s="162"/>
      <c r="M16" s="172">
        <f t="shared" si="10"/>
        <v>0</v>
      </c>
      <c r="N16" s="160"/>
      <c r="O16" s="161"/>
      <c r="P16" s="161"/>
      <c r="Q16" s="161"/>
      <c r="R16" s="161"/>
      <c r="S16" s="161"/>
      <c r="T16" s="161"/>
      <c r="U16" s="161"/>
      <c r="V16" s="161"/>
      <c r="W16" s="162"/>
      <c r="X16" s="172">
        <f t="shared" si="11"/>
        <v>0</v>
      </c>
      <c r="Y16" s="160"/>
      <c r="Z16" s="161"/>
      <c r="AA16" s="161"/>
      <c r="AB16" s="161"/>
      <c r="AC16" s="161"/>
      <c r="AD16" s="161"/>
      <c r="AE16" s="161"/>
      <c r="AF16" s="161"/>
      <c r="AG16" s="161"/>
      <c r="AH16" s="162"/>
      <c r="AI16" s="172">
        <f t="shared" si="12"/>
        <v>0</v>
      </c>
      <c r="AJ16" s="160"/>
      <c r="AK16" s="161"/>
      <c r="AL16" s="161"/>
      <c r="AM16" s="161"/>
      <c r="AN16" s="161"/>
      <c r="AO16" s="161"/>
      <c r="AP16" s="161"/>
      <c r="AQ16" s="161"/>
      <c r="AR16" s="161"/>
      <c r="AS16" s="162"/>
      <c r="AT16" s="172">
        <f t="shared" si="13"/>
        <v>0</v>
      </c>
      <c r="AU16" s="160"/>
      <c r="AV16" s="161"/>
      <c r="AW16" s="161"/>
      <c r="AX16" s="161"/>
      <c r="AY16" s="161"/>
      <c r="AZ16" s="161"/>
      <c r="BA16" s="161"/>
      <c r="BB16" s="161"/>
      <c r="BC16" s="161"/>
      <c r="BD16" s="162"/>
      <c r="BE16" s="172">
        <f t="shared" si="14"/>
        <v>0</v>
      </c>
      <c r="BF16" s="174">
        <f t="shared" si="15"/>
        <v>0</v>
      </c>
      <c r="BG16" s="175">
        <f t="shared" si="16"/>
        <v>0</v>
      </c>
      <c r="BH16" s="176">
        <f t="shared" si="17"/>
        <v>0</v>
      </c>
    </row>
    <row r="17" spans="1:60" s="83" customFormat="1" ht="19.5" customHeight="1">
      <c r="A17" s="68" t="s">
        <v>86</v>
      </c>
      <c r="B17" s="191" t="s">
        <v>153</v>
      </c>
      <c r="C17" s="163"/>
      <c r="D17" s="164"/>
      <c r="E17" s="164"/>
      <c r="F17" s="164"/>
      <c r="G17" s="164"/>
      <c r="H17" s="164"/>
      <c r="I17" s="164"/>
      <c r="J17" s="164"/>
      <c r="K17" s="164"/>
      <c r="L17" s="165"/>
      <c r="M17" s="173">
        <f t="shared" si="10"/>
        <v>0</v>
      </c>
      <c r="N17" s="163"/>
      <c r="O17" s="164"/>
      <c r="P17" s="164"/>
      <c r="Q17" s="164"/>
      <c r="R17" s="164"/>
      <c r="S17" s="164"/>
      <c r="T17" s="164"/>
      <c r="U17" s="164"/>
      <c r="V17" s="164"/>
      <c r="W17" s="165"/>
      <c r="X17" s="173">
        <f t="shared" si="11"/>
        <v>0</v>
      </c>
      <c r="Y17" s="163"/>
      <c r="Z17" s="164"/>
      <c r="AA17" s="164"/>
      <c r="AB17" s="164"/>
      <c r="AC17" s="164"/>
      <c r="AD17" s="164"/>
      <c r="AE17" s="164"/>
      <c r="AF17" s="164"/>
      <c r="AG17" s="164"/>
      <c r="AH17" s="165"/>
      <c r="AI17" s="173">
        <f t="shared" si="12"/>
        <v>0</v>
      </c>
      <c r="AJ17" s="163"/>
      <c r="AK17" s="164"/>
      <c r="AL17" s="164"/>
      <c r="AM17" s="164"/>
      <c r="AN17" s="164"/>
      <c r="AO17" s="164"/>
      <c r="AP17" s="164"/>
      <c r="AQ17" s="164"/>
      <c r="AR17" s="164"/>
      <c r="AS17" s="165"/>
      <c r="AT17" s="173">
        <f t="shared" si="13"/>
        <v>0</v>
      </c>
      <c r="AU17" s="163"/>
      <c r="AV17" s="164"/>
      <c r="AW17" s="164"/>
      <c r="AX17" s="164"/>
      <c r="AY17" s="164"/>
      <c r="AZ17" s="164"/>
      <c r="BA17" s="164"/>
      <c r="BB17" s="164"/>
      <c r="BC17" s="164"/>
      <c r="BD17" s="165"/>
      <c r="BE17" s="173">
        <f t="shared" si="14"/>
        <v>0</v>
      </c>
      <c r="BF17" s="177">
        <f t="shared" si="15"/>
        <v>0</v>
      </c>
      <c r="BG17" s="178">
        <f t="shared" si="16"/>
        <v>0</v>
      </c>
      <c r="BH17" s="179">
        <f t="shared" si="17"/>
        <v>0</v>
      </c>
    </row>
    <row r="18" spans="1:60" s="83" customFormat="1" ht="19.5" customHeight="1">
      <c r="A18" s="66" t="s">
        <v>37</v>
      </c>
      <c r="B18" s="92"/>
      <c r="C18" s="79"/>
      <c r="D18" s="80"/>
      <c r="E18" s="80"/>
      <c r="F18" s="80"/>
      <c r="G18" s="80"/>
      <c r="H18" s="80"/>
      <c r="I18" s="80"/>
      <c r="J18" s="80"/>
      <c r="K18" s="80"/>
      <c r="L18" s="81"/>
      <c r="M18" s="198"/>
      <c r="N18" s="79"/>
      <c r="O18" s="80"/>
      <c r="P18" s="80"/>
      <c r="Q18" s="80"/>
      <c r="R18" s="80"/>
      <c r="S18" s="80"/>
      <c r="T18" s="80"/>
      <c r="U18" s="80"/>
      <c r="V18" s="80"/>
      <c r="W18" s="81"/>
      <c r="X18" s="198"/>
      <c r="Y18" s="79"/>
      <c r="Z18" s="80"/>
      <c r="AA18" s="80"/>
      <c r="AB18" s="80"/>
      <c r="AC18" s="80"/>
      <c r="AD18" s="80"/>
      <c r="AE18" s="80"/>
      <c r="AF18" s="80"/>
      <c r="AG18" s="80"/>
      <c r="AH18" s="81"/>
      <c r="AI18" s="198"/>
      <c r="AJ18" s="79"/>
      <c r="AK18" s="80"/>
      <c r="AL18" s="80"/>
      <c r="AM18" s="80"/>
      <c r="AN18" s="80"/>
      <c r="AO18" s="80"/>
      <c r="AP18" s="80"/>
      <c r="AQ18" s="80"/>
      <c r="AR18" s="80"/>
      <c r="AS18" s="81"/>
      <c r="AT18" s="198"/>
      <c r="AU18" s="79"/>
      <c r="AV18" s="80"/>
      <c r="AW18" s="80"/>
      <c r="AX18" s="80"/>
      <c r="AY18" s="80"/>
      <c r="AZ18" s="80"/>
      <c r="BA18" s="80"/>
      <c r="BB18" s="80"/>
      <c r="BC18" s="80"/>
      <c r="BD18" s="81"/>
      <c r="BE18" s="82"/>
      <c r="BF18" s="79"/>
      <c r="BG18" s="80"/>
      <c r="BH18" s="81"/>
    </row>
    <row r="19" spans="1:60" s="39" customFormat="1" ht="19.5" customHeight="1">
      <c r="A19" s="67" t="s">
        <v>8</v>
      </c>
      <c r="B19" s="93"/>
      <c r="C19" s="85"/>
      <c r="D19" s="86"/>
      <c r="E19" s="86"/>
      <c r="F19" s="86"/>
      <c r="G19" s="86"/>
      <c r="H19" s="86"/>
      <c r="I19" s="87"/>
      <c r="J19" s="87"/>
      <c r="K19" s="87"/>
      <c r="L19" s="88"/>
      <c r="M19" s="172">
        <f>SUM(M12:M17)</f>
        <v>22.833333333333336</v>
      </c>
      <c r="N19" s="85"/>
      <c r="O19" s="86"/>
      <c r="P19" s="86"/>
      <c r="Q19" s="86"/>
      <c r="R19" s="86"/>
      <c r="S19" s="86"/>
      <c r="T19" s="87"/>
      <c r="U19" s="87"/>
      <c r="V19" s="87"/>
      <c r="W19" s="88"/>
      <c r="X19" s="172">
        <f>SUM(X12:X17)</f>
        <v>22.833333333333336</v>
      </c>
      <c r="Y19" s="85"/>
      <c r="Z19" s="86"/>
      <c r="AA19" s="86"/>
      <c r="AB19" s="86"/>
      <c r="AC19" s="86"/>
      <c r="AD19" s="86"/>
      <c r="AE19" s="87"/>
      <c r="AF19" s="87"/>
      <c r="AG19" s="87"/>
      <c r="AH19" s="88"/>
      <c r="AI19" s="172">
        <f>SUM(AI12:AI17)</f>
        <v>10.916666666666668</v>
      </c>
      <c r="AJ19" s="85"/>
      <c r="AK19" s="86"/>
      <c r="AL19" s="86"/>
      <c r="AM19" s="86"/>
      <c r="AN19" s="86"/>
      <c r="AO19" s="86"/>
      <c r="AP19" s="87"/>
      <c r="AQ19" s="87"/>
      <c r="AR19" s="87"/>
      <c r="AS19" s="88"/>
      <c r="AT19" s="172">
        <f>SUM(AT12:AT17)</f>
        <v>15.583333333333336</v>
      </c>
      <c r="AU19" s="85"/>
      <c r="AV19" s="86"/>
      <c r="AW19" s="86"/>
      <c r="AX19" s="86"/>
      <c r="AY19" s="86"/>
      <c r="AZ19" s="86"/>
      <c r="BA19" s="87"/>
      <c r="BB19" s="87"/>
      <c r="BC19" s="87"/>
      <c r="BD19" s="88"/>
      <c r="BE19" s="172">
        <f>SUM(BE12:BE17)</f>
        <v>10.916666666666668</v>
      </c>
      <c r="BF19" s="174">
        <f>SUM(BF12:BF17)</f>
        <v>52.333333333333336</v>
      </c>
      <c r="BG19" s="175">
        <f>SUM(BG12:BG17)</f>
        <v>30.750000000000004</v>
      </c>
      <c r="BH19" s="176">
        <f>SUM(BH12:BH17)</f>
        <v>83.08333333333334</v>
      </c>
    </row>
    <row r="20" spans="1:60" s="39" customFormat="1" ht="30" customHeight="1">
      <c r="A20" s="132" t="s">
        <v>124</v>
      </c>
      <c r="B20" s="93"/>
      <c r="C20" s="85"/>
      <c r="D20" s="86"/>
      <c r="E20" s="86"/>
      <c r="F20" s="86"/>
      <c r="G20" s="86"/>
      <c r="H20" s="86"/>
      <c r="I20" s="87"/>
      <c r="J20" s="87"/>
      <c r="K20" s="87"/>
      <c r="L20" s="88"/>
      <c r="M20" s="207"/>
      <c r="N20" s="85"/>
      <c r="O20" s="86"/>
      <c r="P20" s="86"/>
      <c r="Q20" s="86"/>
      <c r="R20" s="86"/>
      <c r="S20" s="86"/>
      <c r="T20" s="87"/>
      <c r="U20" s="87"/>
      <c r="V20" s="87"/>
      <c r="W20" s="88"/>
      <c r="X20" s="207"/>
      <c r="Y20" s="85"/>
      <c r="Z20" s="86"/>
      <c r="AA20" s="86"/>
      <c r="AB20" s="86"/>
      <c r="AC20" s="86"/>
      <c r="AD20" s="86"/>
      <c r="AE20" s="87"/>
      <c r="AF20" s="87"/>
      <c r="AG20" s="87"/>
      <c r="AH20" s="88"/>
      <c r="AI20" s="207"/>
      <c r="AJ20" s="85"/>
      <c r="AK20" s="86"/>
      <c r="AL20" s="86"/>
      <c r="AM20" s="86"/>
      <c r="AN20" s="86"/>
      <c r="AO20" s="86"/>
      <c r="AP20" s="87"/>
      <c r="AQ20" s="87"/>
      <c r="AR20" s="87"/>
      <c r="AS20" s="88"/>
      <c r="AT20" s="207"/>
      <c r="AU20" s="85"/>
      <c r="AV20" s="86"/>
      <c r="AW20" s="86"/>
      <c r="AX20" s="86"/>
      <c r="AY20" s="86"/>
      <c r="AZ20" s="86"/>
      <c r="BA20" s="87"/>
      <c r="BB20" s="87"/>
      <c r="BC20" s="87"/>
      <c r="BD20" s="88"/>
      <c r="BE20" s="84"/>
      <c r="BF20" s="129"/>
      <c r="BG20" s="141"/>
      <c r="BH20" s="180">
        <f>BF19/BH19</f>
        <v>0.629889669007021</v>
      </c>
    </row>
    <row r="21" spans="1:60" s="39" customFormat="1" ht="19.5" customHeight="1">
      <c r="A21" s="67" t="s">
        <v>87</v>
      </c>
      <c r="B21" s="93"/>
      <c r="C21" s="184">
        <f aca="true" t="shared" si="18" ref="C21:L21">IF(C10=0,"",C10/SUM(C12:C17))</f>
        <v>6</v>
      </c>
      <c r="D21" s="185">
        <f t="shared" si="18"/>
        <v>8</v>
      </c>
      <c r="E21" s="185">
        <f t="shared" si="18"/>
        <v>4.5</v>
      </c>
      <c r="F21" s="185">
        <f t="shared" si="18"/>
        <v>9</v>
      </c>
      <c r="G21" s="185">
        <f t="shared" si="18"/>
        <v>9</v>
      </c>
      <c r="H21" s="185">
        <f t="shared" si="18"/>
        <v>8</v>
      </c>
      <c r="I21" s="185">
        <f t="shared" si="18"/>
      </c>
      <c r="J21" s="185">
        <f t="shared" si="18"/>
      </c>
      <c r="K21" s="185">
        <f t="shared" si="18"/>
      </c>
      <c r="L21" s="186">
        <f t="shared" si="18"/>
      </c>
      <c r="M21" s="172">
        <f>IF(M22=0,"",M22/M19)</f>
        <v>7.6751824817518255</v>
      </c>
      <c r="N21" s="184">
        <f aca="true" t="shared" si="19" ref="N21:W21">IF(N10=0,"",N10/SUM(N12:N17))</f>
        <v>8</v>
      </c>
      <c r="O21" s="185">
        <f t="shared" si="19"/>
        <v>10</v>
      </c>
      <c r="P21" s="185">
        <f t="shared" si="19"/>
        <v>7</v>
      </c>
      <c r="Q21" s="185">
        <f t="shared" si="19"/>
        <v>9</v>
      </c>
      <c r="R21" s="185">
        <f t="shared" si="19"/>
        <v>9</v>
      </c>
      <c r="S21" s="185">
        <f t="shared" si="19"/>
        <v>7</v>
      </c>
      <c r="T21" s="185">
        <f t="shared" si="19"/>
      </c>
      <c r="U21" s="185">
        <f t="shared" si="19"/>
      </c>
      <c r="V21" s="185">
        <f t="shared" si="19"/>
      </c>
      <c r="W21" s="186">
        <f t="shared" si="19"/>
      </c>
      <c r="X21" s="172">
        <f>IF(X22=0,"",X22/X19)</f>
        <v>8.67883211678832</v>
      </c>
      <c r="Y21" s="184">
        <f aca="true" t="shared" si="20" ref="Y21:AH21">IF(Y10=0,"",Y10/SUM(Y12:Y17))</f>
        <v>10</v>
      </c>
      <c r="Z21" s="185">
        <f t="shared" si="20"/>
        <v>6.5</v>
      </c>
      <c r="AA21" s="185">
        <f t="shared" si="20"/>
        <v>4</v>
      </c>
      <c r="AB21" s="185">
        <f t="shared" si="20"/>
        <v>6.5</v>
      </c>
      <c r="AC21" s="185">
        <f t="shared" si="20"/>
        <v>6.5</v>
      </c>
      <c r="AD21" s="185">
        <f t="shared" si="20"/>
        <v>9</v>
      </c>
      <c r="AE21" s="185">
        <f t="shared" si="20"/>
      </c>
      <c r="AF21" s="185">
        <f t="shared" si="20"/>
      </c>
      <c r="AG21" s="185">
        <f t="shared" si="20"/>
      </c>
      <c r="AH21" s="186">
        <f t="shared" si="20"/>
      </c>
      <c r="AI21" s="172">
        <f>IF(AI22=0,"",AI22/AI19)</f>
        <v>6.687022900763358</v>
      </c>
      <c r="AJ21" s="184">
        <f aca="true" t="shared" si="21" ref="AJ21:AS21">IF(AJ10=0,"",AJ10/SUM(AJ12:AJ17))</f>
        <v>8</v>
      </c>
      <c r="AK21" s="185">
        <f t="shared" si="21"/>
        <v>9.666666666666666</v>
      </c>
      <c r="AL21" s="185">
        <f t="shared" si="21"/>
        <v>7</v>
      </c>
      <c r="AM21" s="185">
        <f t="shared" si="21"/>
        <v>8.333333333333334</v>
      </c>
      <c r="AN21" s="185">
        <f t="shared" si="21"/>
        <v>8.333333333333334</v>
      </c>
      <c r="AO21" s="185">
        <f t="shared" si="21"/>
        <v>8.5</v>
      </c>
      <c r="AP21" s="185">
        <f t="shared" si="21"/>
      </c>
      <c r="AQ21" s="185">
        <f t="shared" si="21"/>
      </c>
      <c r="AR21" s="185">
        <f t="shared" si="21"/>
      </c>
      <c r="AS21" s="186">
        <f t="shared" si="21"/>
      </c>
      <c r="AT21" s="172">
        <f>IF(AT22=0,"",AT22/AT19)</f>
        <v>8.647058823529411</v>
      </c>
      <c r="AU21" s="184">
        <f aca="true" t="shared" si="22" ref="AU21:BD21">IF(AU10=0,"",AU10/SUM(AU12:AU17))</f>
        <v>5</v>
      </c>
      <c r="AV21" s="185">
        <f t="shared" si="22"/>
        <v>9</v>
      </c>
      <c r="AW21" s="185">
        <f t="shared" si="22"/>
        <v>4</v>
      </c>
      <c r="AX21" s="185">
        <f t="shared" si="22"/>
        <v>7</v>
      </c>
      <c r="AY21" s="185">
        <f t="shared" si="22"/>
        <v>7</v>
      </c>
      <c r="AZ21" s="185">
        <f t="shared" si="22"/>
        <v>8</v>
      </c>
      <c r="BA21" s="185">
        <f t="shared" si="22"/>
      </c>
      <c r="BB21" s="185">
        <f t="shared" si="22"/>
      </c>
      <c r="BC21" s="185">
        <f t="shared" si="22"/>
      </c>
      <c r="BD21" s="186">
        <f t="shared" si="22"/>
      </c>
      <c r="BE21" s="172">
        <f>IF(BE22=0,"",BE22/BE19)</f>
        <v>7.114503816793891</v>
      </c>
      <c r="BF21" s="120"/>
      <c r="BG21" s="135"/>
      <c r="BH21" s="181">
        <f>BH22/BH19</f>
        <v>7.929789368104313</v>
      </c>
    </row>
    <row r="22" spans="1:60" s="52" customFormat="1" ht="19.5" customHeight="1">
      <c r="A22" s="69" t="s">
        <v>120</v>
      </c>
      <c r="B22" s="94"/>
      <c r="C22" s="184">
        <f aca="true" t="shared" si="23" ref="C22:L22">C10*C9</f>
        <v>11.99999999999999</v>
      </c>
      <c r="D22" s="185">
        <f t="shared" si="23"/>
        <v>56.000000000000014</v>
      </c>
      <c r="E22" s="185">
        <f t="shared" si="23"/>
        <v>14.249999999999996</v>
      </c>
      <c r="F22" s="185">
        <f t="shared" si="23"/>
        <v>35.99999999999997</v>
      </c>
      <c r="G22" s="185">
        <f t="shared" si="23"/>
        <v>33.00000000000007</v>
      </c>
      <c r="H22" s="185">
        <f t="shared" si="23"/>
        <v>23.99999999999998</v>
      </c>
      <c r="I22" s="175">
        <f t="shared" si="23"/>
        <v>0</v>
      </c>
      <c r="J22" s="175">
        <f t="shared" si="23"/>
        <v>0</v>
      </c>
      <c r="K22" s="175">
        <f t="shared" si="23"/>
        <v>0</v>
      </c>
      <c r="L22" s="175">
        <f t="shared" si="23"/>
        <v>0</v>
      </c>
      <c r="M22" s="172">
        <f>SUM(C22:L22)</f>
        <v>175.25000000000003</v>
      </c>
      <c r="N22" s="184">
        <f aca="true" t="shared" si="24" ref="N22:W22">N10*N9</f>
        <v>15.999999999999986</v>
      </c>
      <c r="O22" s="185">
        <f t="shared" si="24"/>
        <v>70.00000000000001</v>
      </c>
      <c r="P22" s="185">
        <f t="shared" si="24"/>
        <v>22.166666666666664</v>
      </c>
      <c r="Q22" s="185">
        <f t="shared" si="24"/>
        <v>35.99999999999997</v>
      </c>
      <c r="R22" s="185">
        <f t="shared" si="24"/>
        <v>33.00000000000007</v>
      </c>
      <c r="S22" s="185">
        <f t="shared" si="24"/>
        <v>20.999999999999982</v>
      </c>
      <c r="T22" s="175">
        <f t="shared" si="24"/>
        <v>0</v>
      </c>
      <c r="U22" s="175">
        <f t="shared" si="24"/>
        <v>0</v>
      </c>
      <c r="V22" s="175">
        <f t="shared" si="24"/>
        <v>0</v>
      </c>
      <c r="W22" s="175">
        <f t="shared" si="24"/>
        <v>0</v>
      </c>
      <c r="X22" s="172">
        <f>SUM(N22:W22)</f>
        <v>198.16666666666666</v>
      </c>
      <c r="Y22" s="184">
        <f aca="true" t="shared" si="25" ref="Y22:AH22">Y10*Y9</f>
        <v>9.999999999999991</v>
      </c>
      <c r="Z22" s="185">
        <f t="shared" si="25"/>
        <v>22.750000000000007</v>
      </c>
      <c r="AA22" s="185">
        <f t="shared" si="25"/>
        <v>6.333333333333332</v>
      </c>
      <c r="AB22" s="185">
        <f t="shared" si="25"/>
        <v>12.99999999999999</v>
      </c>
      <c r="AC22" s="185">
        <f t="shared" si="25"/>
        <v>11.916666666666693</v>
      </c>
      <c r="AD22" s="185">
        <f t="shared" si="25"/>
        <v>8.999999999999993</v>
      </c>
      <c r="AE22" s="175">
        <f t="shared" si="25"/>
        <v>0</v>
      </c>
      <c r="AF22" s="175">
        <f t="shared" si="25"/>
        <v>0</v>
      </c>
      <c r="AG22" s="175">
        <f t="shared" si="25"/>
        <v>0</v>
      </c>
      <c r="AH22" s="175">
        <f t="shared" si="25"/>
        <v>0</v>
      </c>
      <c r="AI22" s="172">
        <f>SUM(Y22:AH22)</f>
        <v>73</v>
      </c>
      <c r="AJ22" s="184">
        <f aca="true" t="shared" si="26" ref="AJ22:AS22">AJ10*AJ9</f>
        <v>7.999999999999993</v>
      </c>
      <c r="AK22" s="185">
        <f t="shared" si="26"/>
        <v>50.750000000000014</v>
      </c>
      <c r="AL22" s="185">
        <f t="shared" si="26"/>
        <v>11.083333333333332</v>
      </c>
      <c r="AM22" s="185">
        <f t="shared" si="26"/>
        <v>24.99999999999998</v>
      </c>
      <c r="AN22" s="185">
        <f t="shared" si="26"/>
        <v>22.916666666666718</v>
      </c>
      <c r="AO22" s="185">
        <f t="shared" si="26"/>
        <v>16.999999999999986</v>
      </c>
      <c r="AP22" s="175">
        <f t="shared" si="26"/>
        <v>0</v>
      </c>
      <c r="AQ22" s="175">
        <f t="shared" si="26"/>
        <v>0</v>
      </c>
      <c r="AR22" s="175">
        <f t="shared" si="26"/>
        <v>0</v>
      </c>
      <c r="AS22" s="175">
        <f t="shared" si="26"/>
        <v>0</v>
      </c>
      <c r="AT22" s="172">
        <f>SUM(AJ22:AS22)</f>
        <v>134.75</v>
      </c>
      <c r="AU22" s="184">
        <f aca="true" t="shared" si="27" ref="AU22:BD22">AU10*AU9</f>
        <v>4.999999999999996</v>
      </c>
      <c r="AV22" s="185">
        <f t="shared" si="27"/>
        <v>31.500000000000007</v>
      </c>
      <c r="AW22" s="185">
        <f t="shared" si="27"/>
        <v>6.333333333333332</v>
      </c>
      <c r="AX22" s="185">
        <f t="shared" si="27"/>
        <v>13.999999999999988</v>
      </c>
      <c r="AY22" s="185">
        <f t="shared" si="27"/>
        <v>12.833333333333362</v>
      </c>
      <c r="AZ22" s="185">
        <f t="shared" si="27"/>
        <v>7.999999999999993</v>
      </c>
      <c r="BA22" s="175">
        <f t="shared" si="27"/>
        <v>0</v>
      </c>
      <c r="BB22" s="175">
        <f t="shared" si="27"/>
        <v>0</v>
      </c>
      <c r="BC22" s="175">
        <f t="shared" si="27"/>
        <v>0</v>
      </c>
      <c r="BD22" s="175">
        <f t="shared" si="27"/>
        <v>0</v>
      </c>
      <c r="BE22" s="172">
        <f>SUM(AU22:BD22)</f>
        <v>77.66666666666666</v>
      </c>
      <c r="BF22" s="120"/>
      <c r="BG22" s="135"/>
      <c r="BH22" s="181">
        <f>M22+X22+AI22+AT22+BE22</f>
        <v>658.8333333333334</v>
      </c>
    </row>
    <row r="23" spans="1:60" s="39" customFormat="1" ht="19.5" customHeight="1">
      <c r="A23" s="67" t="s">
        <v>110</v>
      </c>
      <c r="B23" s="93"/>
      <c r="C23" s="97"/>
      <c r="D23" s="187">
        <f>D10</f>
        <v>32</v>
      </c>
      <c r="E23" s="98"/>
      <c r="F23" s="98"/>
      <c r="G23" s="98"/>
      <c r="H23" s="98"/>
      <c r="I23" s="98"/>
      <c r="J23" s="98"/>
      <c r="K23" s="98"/>
      <c r="L23" s="99"/>
      <c r="M23" s="204"/>
      <c r="N23" s="97"/>
      <c r="O23" s="187">
        <f>O10</f>
        <v>40</v>
      </c>
      <c r="P23" s="98"/>
      <c r="Q23" s="98"/>
      <c r="R23" s="98"/>
      <c r="S23" s="98"/>
      <c r="T23" s="98"/>
      <c r="U23" s="98"/>
      <c r="V23" s="98"/>
      <c r="W23" s="99"/>
      <c r="X23" s="204"/>
      <c r="Y23" s="97"/>
      <c r="Z23" s="187">
        <f>Z10</f>
        <v>13</v>
      </c>
      <c r="AA23" s="98"/>
      <c r="AB23" s="98"/>
      <c r="AC23" s="98"/>
      <c r="AD23" s="98"/>
      <c r="AE23" s="98"/>
      <c r="AF23" s="98"/>
      <c r="AG23" s="98"/>
      <c r="AH23" s="99"/>
      <c r="AI23" s="204"/>
      <c r="AJ23" s="97"/>
      <c r="AK23" s="187">
        <f>AK10</f>
        <v>29</v>
      </c>
      <c r="AL23" s="98"/>
      <c r="AM23" s="98"/>
      <c r="AN23" s="98"/>
      <c r="AO23" s="98"/>
      <c r="AP23" s="98"/>
      <c r="AQ23" s="98"/>
      <c r="AR23" s="98"/>
      <c r="AS23" s="99"/>
      <c r="AT23" s="204"/>
      <c r="AU23" s="97"/>
      <c r="AV23" s="187">
        <f>AV10</f>
        <v>18</v>
      </c>
      <c r="AW23" s="98"/>
      <c r="AX23" s="98"/>
      <c r="AY23" s="98"/>
      <c r="AZ23" s="98"/>
      <c r="BA23" s="98"/>
      <c r="BB23" s="98"/>
      <c r="BC23" s="98"/>
      <c r="BD23" s="99"/>
      <c r="BE23" s="78"/>
      <c r="BF23" s="121"/>
      <c r="BG23" s="136"/>
      <c r="BH23" s="182">
        <f>SUM(C23:BD23)</f>
        <v>132</v>
      </c>
    </row>
    <row r="24" spans="1:60" s="39" customFormat="1" ht="19.5" customHeight="1">
      <c r="A24" s="67" t="s">
        <v>7</v>
      </c>
      <c r="B24" s="93"/>
      <c r="C24" s="188">
        <f>C10</f>
        <v>12</v>
      </c>
      <c r="D24" s="98"/>
      <c r="E24" s="98"/>
      <c r="F24" s="98"/>
      <c r="G24" s="98"/>
      <c r="H24" s="98"/>
      <c r="I24" s="98"/>
      <c r="J24" s="98"/>
      <c r="K24" s="98"/>
      <c r="L24" s="99"/>
      <c r="M24" s="204"/>
      <c r="N24" s="188">
        <f>N10</f>
        <v>16</v>
      </c>
      <c r="O24" s="98"/>
      <c r="P24" s="98"/>
      <c r="Q24" s="98"/>
      <c r="R24" s="98"/>
      <c r="S24" s="98"/>
      <c r="T24" s="98"/>
      <c r="U24" s="98"/>
      <c r="V24" s="98"/>
      <c r="W24" s="99"/>
      <c r="X24" s="204"/>
      <c r="Y24" s="188">
        <f>Y10</f>
        <v>10</v>
      </c>
      <c r="Z24" s="98"/>
      <c r="AA24" s="98"/>
      <c r="AB24" s="98"/>
      <c r="AC24" s="98"/>
      <c r="AD24" s="98"/>
      <c r="AE24" s="98"/>
      <c r="AF24" s="98"/>
      <c r="AG24" s="98"/>
      <c r="AH24" s="99"/>
      <c r="AI24" s="204"/>
      <c r="AJ24" s="188">
        <f>AJ10</f>
        <v>8</v>
      </c>
      <c r="AK24" s="98"/>
      <c r="AL24" s="98"/>
      <c r="AM24" s="98"/>
      <c r="AN24" s="98"/>
      <c r="AO24" s="98"/>
      <c r="AP24" s="98"/>
      <c r="AQ24" s="98"/>
      <c r="AR24" s="98"/>
      <c r="AS24" s="99"/>
      <c r="AT24" s="204"/>
      <c r="AU24" s="188">
        <f>AU10</f>
        <v>5</v>
      </c>
      <c r="AV24" s="98"/>
      <c r="AW24" s="98"/>
      <c r="AX24" s="98"/>
      <c r="AY24" s="98"/>
      <c r="AZ24" s="98"/>
      <c r="BA24" s="98"/>
      <c r="BB24" s="98"/>
      <c r="BC24" s="98"/>
      <c r="BD24" s="99"/>
      <c r="BE24" s="78"/>
      <c r="BF24" s="121"/>
      <c r="BG24" s="136"/>
      <c r="BH24" s="182">
        <f>SUM(C24:BD24)</f>
        <v>51</v>
      </c>
    </row>
    <row r="25" spans="1:60" s="39" customFormat="1" ht="19.5" customHeight="1">
      <c r="A25" s="290" t="s">
        <v>98</v>
      </c>
      <c r="B25" s="95"/>
      <c r="C25" s="189">
        <f>C10*0.1</f>
        <v>1.2000000000000002</v>
      </c>
      <c r="D25" s="190">
        <f>D10*0.5</f>
        <v>16</v>
      </c>
      <c r="E25" s="190">
        <f>MAX(E10:H10)*0.4</f>
        <v>14.4</v>
      </c>
      <c r="F25" s="89"/>
      <c r="G25" s="89"/>
      <c r="H25" s="89"/>
      <c r="I25" s="90"/>
      <c r="J25" s="90"/>
      <c r="K25" s="90"/>
      <c r="L25" s="91"/>
      <c r="M25" s="173">
        <f>SUM(C25:L25)</f>
        <v>31.6</v>
      </c>
      <c r="N25" s="189">
        <f>N10*0.1</f>
        <v>1.6</v>
      </c>
      <c r="O25" s="190">
        <f>O10*0.5</f>
        <v>20</v>
      </c>
      <c r="P25" s="190">
        <f>MAX(P10:S10)*0.4</f>
        <v>14.4</v>
      </c>
      <c r="Q25" s="89"/>
      <c r="R25" s="89"/>
      <c r="S25" s="89"/>
      <c r="T25" s="90"/>
      <c r="U25" s="90"/>
      <c r="V25" s="90"/>
      <c r="W25" s="91"/>
      <c r="X25" s="173">
        <f>SUM(N25:W25)</f>
        <v>36</v>
      </c>
      <c r="Y25" s="189">
        <f>Y10*0.1</f>
        <v>1</v>
      </c>
      <c r="Z25" s="190">
        <f>Z10*0.5</f>
        <v>6.5</v>
      </c>
      <c r="AA25" s="190">
        <f>MAX(AA10:AD10)*0.4</f>
        <v>5.2</v>
      </c>
      <c r="AB25" s="89"/>
      <c r="AC25" s="89"/>
      <c r="AD25" s="89"/>
      <c r="AE25" s="90"/>
      <c r="AF25" s="90"/>
      <c r="AG25" s="90"/>
      <c r="AH25" s="91"/>
      <c r="AI25" s="173">
        <f>SUM(Y25:AH25)</f>
        <v>12.7</v>
      </c>
      <c r="AJ25" s="189">
        <f>AJ10*0.1</f>
        <v>0.8</v>
      </c>
      <c r="AK25" s="190">
        <f>AK10*0.5</f>
        <v>14.5</v>
      </c>
      <c r="AL25" s="190">
        <f>MAX(AL10:AO10)*0.4</f>
        <v>10</v>
      </c>
      <c r="AM25" s="89"/>
      <c r="AN25" s="89"/>
      <c r="AO25" s="89"/>
      <c r="AP25" s="90"/>
      <c r="AQ25" s="90"/>
      <c r="AR25" s="90"/>
      <c r="AS25" s="91"/>
      <c r="AT25" s="173">
        <f>SUM(AJ25:AS25)</f>
        <v>25.3</v>
      </c>
      <c r="AU25" s="189">
        <f>AU10*0.1</f>
        <v>0.5</v>
      </c>
      <c r="AV25" s="190">
        <f>AV10*0.5</f>
        <v>9</v>
      </c>
      <c r="AW25" s="190">
        <f>MAX(AW10:AZ10)*0.4</f>
        <v>5.6000000000000005</v>
      </c>
      <c r="AX25" s="89"/>
      <c r="AY25" s="89"/>
      <c r="AZ25" s="89"/>
      <c r="BA25" s="90"/>
      <c r="BB25" s="90"/>
      <c r="BC25" s="90"/>
      <c r="BD25" s="91"/>
      <c r="BE25" s="173">
        <f>SUM(AU25:BD25)</f>
        <v>15.100000000000001</v>
      </c>
      <c r="BF25" s="122"/>
      <c r="BG25" s="137"/>
      <c r="BH25" s="183">
        <f>(M25+X25+AI25+AT25+BE25)/5</f>
        <v>24.139999999999997</v>
      </c>
    </row>
    <row r="26" spans="13:46" s="39" customFormat="1" ht="10.5">
      <c r="M26" s="217"/>
      <c r="X26" s="217"/>
      <c r="AI26" s="217"/>
      <c r="AT26" s="217"/>
    </row>
    <row r="27" spans="1:46" s="39" customFormat="1" ht="10.5">
      <c r="A27" s="39" t="s">
        <v>171</v>
      </c>
      <c r="M27" s="217"/>
      <c r="X27" s="217"/>
      <c r="AI27" s="217"/>
      <c r="AT27" s="217"/>
    </row>
    <row r="28" spans="1:46" s="39" customFormat="1" ht="10.5">
      <c r="A28" s="39" t="s">
        <v>109</v>
      </c>
      <c r="M28" s="217"/>
      <c r="X28" s="217"/>
      <c r="AI28" s="217"/>
      <c r="AT28" s="217"/>
    </row>
    <row r="29" spans="1:46" s="39" customFormat="1" ht="10.5">
      <c r="A29" s="39" t="s">
        <v>151</v>
      </c>
      <c r="M29" s="217"/>
      <c r="X29" s="217"/>
      <c r="AI29" s="217"/>
      <c r="AT29" s="217"/>
    </row>
    <row r="30" spans="13:46" s="39" customFormat="1" ht="10.5">
      <c r="M30" s="217"/>
      <c r="X30" s="217"/>
      <c r="AI30" s="217"/>
      <c r="AT30" s="217"/>
    </row>
    <row r="31" spans="13:46" s="39" customFormat="1" ht="10.5">
      <c r="M31" s="217"/>
      <c r="X31" s="217"/>
      <c r="AI31" s="217"/>
      <c r="AT31" s="217"/>
    </row>
    <row r="32" spans="1:46" s="39" customFormat="1" ht="10.5">
      <c r="A32" s="29" t="s">
        <v>127</v>
      </c>
      <c r="M32" s="217"/>
      <c r="X32" s="217"/>
      <c r="AI32" s="217"/>
      <c r="AT32" s="217"/>
    </row>
    <row r="33" spans="13:46" s="39" customFormat="1" ht="10.5">
      <c r="M33" s="217"/>
      <c r="X33" s="217"/>
      <c r="AI33" s="217"/>
      <c r="AT33" s="217"/>
    </row>
    <row r="34" spans="13:46" s="39" customFormat="1" ht="10.5">
      <c r="M34" s="217"/>
      <c r="X34" s="217"/>
      <c r="AI34" s="217"/>
      <c r="AT34" s="217"/>
    </row>
    <row r="35" spans="13:46" s="39" customFormat="1" ht="10.5">
      <c r="M35" s="217"/>
      <c r="X35" s="217"/>
      <c r="AI35" s="217"/>
      <c r="AT35" s="217"/>
    </row>
    <row r="36" spans="13:46" s="39" customFormat="1" ht="10.5">
      <c r="M36" s="217"/>
      <c r="X36" s="217"/>
      <c r="AI36" s="217"/>
      <c r="AT36" s="217"/>
    </row>
    <row r="37" spans="13:46" s="39" customFormat="1" ht="10.5">
      <c r="M37" s="217"/>
      <c r="X37" s="217"/>
      <c r="AI37" s="217"/>
      <c r="AT37" s="217"/>
    </row>
    <row r="38" spans="13:46" s="39" customFormat="1" ht="10.5">
      <c r="M38" s="217"/>
      <c r="X38" s="217"/>
      <c r="AI38" s="217"/>
      <c r="AT38" s="217"/>
    </row>
    <row r="39" spans="13:46" s="39" customFormat="1" ht="10.5">
      <c r="M39" s="217"/>
      <c r="X39" s="217"/>
      <c r="AI39" s="217"/>
      <c r="AT39" s="217"/>
    </row>
    <row r="40" spans="13:46" s="39" customFormat="1" ht="10.5">
      <c r="M40" s="217"/>
      <c r="X40" s="217"/>
      <c r="AI40" s="217"/>
      <c r="AT40" s="217"/>
    </row>
    <row r="41" spans="13:46" s="39" customFormat="1" ht="10.5">
      <c r="M41" s="217"/>
      <c r="X41" s="217"/>
      <c r="AI41" s="217"/>
      <c r="AT41" s="217"/>
    </row>
    <row r="42" spans="13:46" s="39" customFormat="1" ht="10.5">
      <c r="M42" s="217"/>
      <c r="X42" s="217"/>
      <c r="AI42" s="217"/>
      <c r="AT42" s="217"/>
    </row>
    <row r="43" spans="13:46" s="39" customFormat="1" ht="10.5">
      <c r="M43" s="217"/>
      <c r="X43" s="217"/>
      <c r="AI43" s="217"/>
      <c r="AT43" s="217"/>
    </row>
    <row r="44" spans="13:46" s="39" customFormat="1" ht="10.5">
      <c r="M44" s="217"/>
      <c r="X44" s="217"/>
      <c r="AI44" s="217"/>
      <c r="AT44" s="217"/>
    </row>
    <row r="45" spans="13:46" s="39" customFormat="1" ht="10.5">
      <c r="M45" s="217"/>
      <c r="X45" s="217"/>
      <c r="AI45" s="217"/>
      <c r="AT45" s="217"/>
    </row>
    <row r="46" spans="13:46" s="39" customFormat="1" ht="10.5">
      <c r="M46" s="217"/>
      <c r="X46" s="217"/>
      <c r="AI46" s="217"/>
      <c r="AT46" s="217"/>
    </row>
    <row r="47" spans="13:46" s="39" customFormat="1" ht="10.5">
      <c r="M47" s="217"/>
      <c r="X47" s="217"/>
      <c r="AI47" s="217"/>
      <c r="AT47" s="217"/>
    </row>
    <row r="48" spans="13:46" s="39" customFormat="1" ht="10.5">
      <c r="M48" s="217"/>
      <c r="X48" s="217"/>
      <c r="AI48" s="217"/>
      <c r="AT48" s="217"/>
    </row>
    <row r="49" spans="13:46" s="39" customFormat="1" ht="10.5">
      <c r="M49" s="217"/>
      <c r="X49" s="217"/>
      <c r="AI49" s="217"/>
      <c r="AT49" s="217"/>
    </row>
    <row r="50" spans="13:46" s="39" customFormat="1" ht="10.5">
      <c r="M50" s="217"/>
      <c r="X50" s="217"/>
      <c r="AI50" s="217"/>
      <c r="AT50" s="217"/>
    </row>
    <row r="51" spans="13:46" s="39" customFormat="1" ht="10.5">
      <c r="M51" s="217"/>
      <c r="X51" s="217"/>
      <c r="AI51" s="217"/>
      <c r="AT51" s="217"/>
    </row>
    <row r="52" spans="13:46" s="39" customFormat="1" ht="10.5">
      <c r="M52" s="217"/>
      <c r="X52" s="217"/>
      <c r="AI52" s="217"/>
      <c r="AT52" s="217"/>
    </row>
    <row r="53" spans="13:46" s="39" customFormat="1" ht="10.5">
      <c r="M53" s="217"/>
      <c r="X53" s="217"/>
      <c r="AI53" s="217"/>
      <c r="AT53" s="217"/>
    </row>
    <row r="54" spans="13:46" s="39" customFormat="1" ht="10.5">
      <c r="M54" s="217"/>
      <c r="X54" s="217"/>
      <c r="AI54" s="217"/>
      <c r="AT54" s="217"/>
    </row>
    <row r="55" spans="13:46" s="39" customFormat="1" ht="10.5">
      <c r="M55" s="217"/>
      <c r="X55" s="217"/>
      <c r="AI55" s="217"/>
      <c r="AT55" s="217"/>
    </row>
    <row r="56" spans="13:46" s="39" customFormat="1" ht="10.5">
      <c r="M56" s="217"/>
      <c r="X56" s="217"/>
      <c r="AI56" s="217"/>
      <c r="AT56" s="217"/>
    </row>
    <row r="57" spans="13:46" s="39" customFormat="1" ht="10.5">
      <c r="M57" s="217"/>
      <c r="X57" s="217"/>
      <c r="AI57" s="217"/>
      <c r="AT57" s="217"/>
    </row>
    <row r="58" spans="13:46" s="39" customFormat="1" ht="10.5">
      <c r="M58" s="217"/>
      <c r="X58" s="217"/>
      <c r="AI58" s="217"/>
      <c r="AT58" s="217"/>
    </row>
    <row r="59" spans="13:46" s="39" customFormat="1" ht="10.5">
      <c r="M59" s="217"/>
      <c r="X59" s="217"/>
      <c r="AI59" s="217"/>
      <c r="AT59" s="217"/>
    </row>
    <row r="60" spans="13:46" s="39" customFormat="1" ht="10.5">
      <c r="M60" s="217"/>
      <c r="X60" s="217"/>
      <c r="AI60" s="217"/>
      <c r="AT60" s="217"/>
    </row>
    <row r="61" spans="13:46" s="39" customFormat="1" ht="10.5">
      <c r="M61" s="217"/>
      <c r="X61" s="217"/>
      <c r="AI61" s="217"/>
      <c r="AT61" s="217"/>
    </row>
    <row r="62" spans="13:46" s="39" customFormat="1" ht="10.5">
      <c r="M62" s="217"/>
      <c r="X62" s="217"/>
      <c r="AI62" s="217"/>
      <c r="AT62" s="217"/>
    </row>
    <row r="63" spans="13:46" s="39" customFormat="1" ht="10.5">
      <c r="M63" s="217"/>
      <c r="X63" s="217"/>
      <c r="AI63" s="217"/>
      <c r="AT63" s="217"/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landscape" paperSize="9" scale="5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="200" zoomScaleNormal="200" workbookViewId="0" topLeftCell="A21">
      <selection activeCell="A12" sqref="A12"/>
    </sheetView>
  </sheetViews>
  <sheetFormatPr defaultColWidth="11.00390625" defaultRowHeight="12"/>
  <cols>
    <col min="1" max="1" width="48.375" style="4" customWidth="1"/>
    <col min="2" max="2" width="9.375" style="2" customWidth="1"/>
    <col min="3" max="4" width="9.875" style="2" customWidth="1"/>
    <col min="5" max="5" width="33.125" style="2" customWidth="1"/>
    <col min="6" max="16384" width="10.875" style="2" customWidth="1"/>
  </cols>
  <sheetData>
    <row r="1" spans="1:5" ht="12">
      <c r="A1" s="4" t="str">
        <f>Basiswerte!A1</f>
        <v>Budgettool zur Berechnung der Betriebskosten einer modularen Tagesstruktur</v>
      </c>
      <c r="E1" s="26"/>
    </row>
    <row r="2" ht="12">
      <c r="A2" s="4" t="str">
        <f>Basiswerte!A2</f>
        <v>Variante Catering</v>
      </c>
    </row>
    <row r="3" ht="15">
      <c r="A3" s="262"/>
    </row>
    <row r="4" spans="1:2" s="3" customFormat="1" ht="15">
      <c r="A4" s="262" t="s">
        <v>142</v>
      </c>
      <c r="B4" s="1"/>
    </row>
    <row r="5" s="3" customFormat="1" ht="3.75" customHeight="1">
      <c r="A5" s="262"/>
    </row>
    <row r="6" spans="1:4" ht="12">
      <c r="A6" s="263"/>
      <c r="B6" s="15" t="s">
        <v>47</v>
      </c>
      <c r="C6" s="15" t="s">
        <v>182</v>
      </c>
      <c r="D6" s="15" t="s">
        <v>132</v>
      </c>
    </row>
    <row r="7" spans="1:4" ht="12">
      <c r="A7" s="264" t="s">
        <v>39</v>
      </c>
      <c r="B7" s="218">
        <f>Basiswerte!B7</f>
        <v>39</v>
      </c>
      <c r="C7" s="218">
        <f>Basiswerte!C7</f>
        <v>39</v>
      </c>
      <c r="D7" s="218">
        <f>Basiswerte!D7</f>
        <v>39</v>
      </c>
    </row>
    <row r="8" spans="1:4" s="214" customFormat="1" ht="12">
      <c r="A8" s="265" t="s">
        <v>147</v>
      </c>
      <c r="B8" s="234"/>
      <c r="C8" s="37"/>
      <c r="D8" s="37"/>
    </row>
    <row r="9" spans="1:5" ht="12.75" customHeight="1">
      <c r="A9" s="266" t="s">
        <v>19</v>
      </c>
      <c r="B9" s="219">
        <f>Basiswerte!B14</f>
        <v>0.01979695431472081</v>
      </c>
      <c r="C9" s="219">
        <f>Basiswerte!C14</f>
        <v>0.01979695431472081</v>
      </c>
      <c r="D9" s="219">
        <f>Basiswerte!D14</f>
        <v>0.01979695431472081</v>
      </c>
      <c r="E9" s="19"/>
    </row>
    <row r="10" spans="1:4" ht="12">
      <c r="A10" s="267" t="s">
        <v>116</v>
      </c>
      <c r="B10" s="220">
        <f>Basiswerte!B24</f>
        <v>120000</v>
      </c>
      <c r="C10" s="220">
        <f>Basiswerte!C24</f>
        <v>120000</v>
      </c>
      <c r="D10" s="220">
        <f>Basiswerte!D24</f>
        <v>120000</v>
      </c>
    </row>
    <row r="11" spans="1:4" s="8" customFormat="1" ht="15" customHeight="1">
      <c r="A11" s="268" t="s">
        <v>117</v>
      </c>
      <c r="B11" s="236">
        <f>B9*B10</f>
        <v>2375.634517766497</v>
      </c>
      <c r="C11" s="236">
        <f>C9*C10</f>
        <v>2375.634517766497</v>
      </c>
      <c r="D11" s="236">
        <f>D9*D10</f>
        <v>2375.634517766497</v>
      </c>
    </row>
    <row r="12" spans="1:4" s="214" customFormat="1" ht="12">
      <c r="A12" s="265" t="s">
        <v>68</v>
      </c>
      <c r="B12" s="234"/>
      <c r="C12" s="37"/>
      <c r="D12" s="37"/>
    </row>
    <row r="13" spans="1:5" ht="12.75" customHeight="1">
      <c r="A13" s="266" t="s">
        <v>19</v>
      </c>
      <c r="B13" s="219">
        <f>Basiswerte!B16</f>
        <v>0.1484771573604061</v>
      </c>
      <c r="C13" s="219">
        <f>Basiswerte!C16</f>
        <v>0.1484771573604061</v>
      </c>
      <c r="D13" s="219">
        <f>Basiswerte!D16</f>
        <v>0.19796954314720813</v>
      </c>
      <c r="E13" s="19"/>
    </row>
    <row r="14" spans="1:4" ht="12">
      <c r="A14" s="267" t="s">
        <v>116</v>
      </c>
      <c r="B14" s="220">
        <f>Basiswerte!B25</f>
        <v>115161.8</v>
      </c>
      <c r="C14" s="220">
        <f>Basiswerte!C25</f>
        <v>115161.8</v>
      </c>
      <c r="D14" s="220">
        <f>Basiswerte!D25</f>
        <v>115161.8</v>
      </c>
    </row>
    <row r="15" spans="1:4" s="8" customFormat="1" ht="15" customHeight="1">
      <c r="A15" s="268" t="s">
        <v>118</v>
      </c>
      <c r="B15" s="236">
        <f>B13*B14</f>
        <v>17098.896700507616</v>
      </c>
      <c r="C15" s="236">
        <f>C13*C14</f>
        <v>17098.896700507616</v>
      </c>
      <c r="D15" s="236">
        <f>D13*D14</f>
        <v>22798.528934010155</v>
      </c>
    </row>
    <row r="16" spans="1:4" s="214" customFormat="1" ht="12">
      <c r="A16" s="265" t="s">
        <v>183</v>
      </c>
      <c r="B16" s="234"/>
      <c r="C16" s="37"/>
      <c r="D16" s="37"/>
    </row>
    <row r="17" spans="1:5" ht="12.75" customHeight="1">
      <c r="A17" s="266" t="s">
        <v>97</v>
      </c>
      <c r="B17" s="221">
        <f>Belegungsplan_Jahr1!BH12</f>
        <v>17.750000000000004</v>
      </c>
      <c r="C17" s="222">
        <f>Belegungsplan_Jahr2!BH12</f>
        <v>27.583333333333332</v>
      </c>
      <c r="D17" s="222">
        <f>Belegungsplan_Jahr3!BH12</f>
        <v>27.333333333333336</v>
      </c>
      <c r="E17" s="19"/>
    </row>
    <row r="18" spans="1:6" ht="12">
      <c r="A18" s="264" t="s">
        <v>146</v>
      </c>
      <c r="B18" s="223">
        <f>B7*B17</f>
        <v>692.2500000000001</v>
      </c>
      <c r="C18" s="223">
        <f>C7*C17</f>
        <v>1075.75</v>
      </c>
      <c r="D18" s="223">
        <f>D7*D17</f>
        <v>1066</v>
      </c>
      <c r="F18" s="31"/>
    </row>
    <row r="19" spans="1:6" ht="12">
      <c r="A19" s="266" t="s">
        <v>173</v>
      </c>
      <c r="B19" s="223">
        <f>B18*Basiswerte!B20</f>
        <v>8.875000000000002</v>
      </c>
      <c r="C19" s="223">
        <f>C18*Basiswerte!C20</f>
        <v>13.791666666666666</v>
      </c>
      <c r="D19" s="223">
        <f>D18*Basiswerte!D20</f>
        <v>13.666666666666666</v>
      </c>
      <c r="F19" s="31"/>
    </row>
    <row r="20" spans="1:6" ht="12">
      <c r="A20" s="269" t="s">
        <v>154</v>
      </c>
      <c r="B20" s="224">
        <f>Basiswerte!B18*Basiswerte!B10</f>
        <v>30</v>
      </c>
      <c r="C20" s="225">
        <f>Basiswerte!C18*Basiswerte!C10</f>
        <v>50</v>
      </c>
      <c r="D20" s="225">
        <f>Basiswerte!D18*Basiswerte!D10</f>
        <v>70</v>
      </c>
      <c r="F20" s="31"/>
    </row>
    <row r="21" spans="1:4" ht="12">
      <c r="A21" s="270" t="s">
        <v>42</v>
      </c>
      <c r="B21" s="226">
        <f>SUM(B18:B20)</f>
        <v>731.1250000000001</v>
      </c>
      <c r="C21" s="227">
        <f>SUM(C18:C20)</f>
        <v>1139.5416666666667</v>
      </c>
      <c r="D21" s="227">
        <f>SUM(D18:D20)</f>
        <v>1149.6666666666667</v>
      </c>
    </row>
    <row r="22" spans="1:4" ht="12">
      <c r="A22" s="266" t="s">
        <v>172</v>
      </c>
      <c r="B22" s="223">
        <f>Basiswerte!B12</f>
        <v>1970</v>
      </c>
      <c r="C22" s="223">
        <f>Basiswerte!C12</f>
        <v>1970</v>
      </c>
      <c r="D22" s="223">
        <f>Basiswerte!D12</f>
        <v>1970</v>
      </c>
    </row>
    <row r="23" spans="1:5" ht="12" customHeight="1">
      <c r="A23" s="264" t="s">
        <v>33</v>
      </c>
      <c r="B23" s="228">
        <f>B21/B22</f>
        <v>0.37112944162436556</v>
      </c>
      <c r="C23" s="229">
        <f>C21/C22</f>
        <v>0.5784475465313029</v>
      </c>
      <c r="D23" s="229">
        <f>D21/D22</f>
        <v>0.5835871404399323</v>
      </c>
      <c r="E23" s="7"/>
    </row>
    <row r="24" spans="1:6" s="12" customFormat="1" ht="12" customHeight="1">
      <c r="A24" s="271" t="s">
        <v>112</v>
      </c>
      <c r="B24" s="230">
        <f>Basiswerte!B26</f>
        <v>98926</v>
      </c>
      <c r="C24" s="230">
        <f>Basiswerte!C26</f>
        <v>98926</v>
      </c>
      <c r="D24" s="230">
        <f>Basiswerte!D26</f>
        <v>98926</v>
      </c>
      <c r="E24" s="2"/>
      <c r="F24" s="2"/>
    </row>
    <row r="25" spans="1:4" s="8" customFormat="1" ht="15" customHeight="1">
      <c r="A25" s="268" t="s">
        <v>111</v>
      </c>
      <c r="B25" s="236">
        <f>ROUND(B23*B24,0)</f>
        <v>36714</v>
      </c>
      <c r="C25" s="236">
        <f>ROUND(C23*C24,0)</f>
        <v>57224</v>
      </c>
      <c r="D25" s="236">
        <f>ROUND(D23*D24,0)</f>
        <v>57732</v>
      </c>
    </row>
    <row r="26" spans="1:4" s="214" customFormat="1" ht="12">
      <c r="A26" s="265" t="s">
        <v>107</v>
      </c>
      <c r="B26" s="234"/>
      <c r="C26" s="37"/>
      <c r="D26" s="37"/>
    </row>
    <row r="27" spans="1:5" ht="12.75" customHeight="1">
      <c r="A27" s="266" t="s">
        <v>97</v>
      </c>
      <c r="B27" s="221">
        <f>Belegungsplan_Jahr1!BH13</f>
        <v>0</v>
      </c>
      <c r="C27" s="222">
        <f>Belegungsplan_Jahr2!BH13</f>
        <v>23.416666666666668</v>
      </c>
      <c r="D27" s="222">
        <f>Belegungsplan_Jahr3!BH13</f>
        <v>25</v>
      </c>
      <c r="E27" s="19"/>
    </row>
    <row r="28" spans="1:4" ht="12.75" customHeight="1">
      <c r="A28" s="264" t="s">
        <v>34</v>
      </c>
      <c r="B28" s="222">
        <f>B27*B7</f>
        <v>0</v>
      </c>
      <c r="C28" s="222">
        <f>C27*C7</f>
        <v>913.25</v>
      </c>
      <c r="D28" s="222">
        <f>D27*D7</f>
        <v>975</v>
      </c>
    </row>
    <row r="29" spans="1:4" ht="12">
      <c r="A29" s="266" t="s">
        <v>173</v>
      </c>
      <c r="B29" s="223">
        <f>B28*Basiswerte!B20</f>
        <v>0</v>
      </c>
      <c r="C29" s="223">
        <f>C28*Basiswerte!C20</f>
        <v>11.708333333333332</v>
      </c>
      <c r="D29" s="223">
        <f>D28*Basiswerte!D20</f>
        <v>12.5</v>
      </c>
    </row>
    <row r="30" spans="1:4" ht="12.75" customHeight="1">
      <c r="A30" s="267" t="s">
        <v>106</v>
      </c>
      <c r="B30" s="223">
        <f>IF(B27&gt;0,Basiswerte!B17,0)</f>
        <v>0</v>
      </c>
      <c r="C30" s="223">
        <f>IF(C27&gt;0,Basiswerte!C17,0)</f>
        <v>20</v>
      </c>
      <c r="D30" s="223">
        <f>IF(D27&gt;0,Basiswerte!D17,0)</f>
        <v>20</v>
      </c>
    </row>
    <row r="31" spans="1:4" ht="12">
      <c r="A31" s="270" t="s">
        <v>42</v>
      </c>
      <c r="B31" s="227">
        <f>SUM(B28:B30)</f>
        <v>0</v>
      </c>
      <c r="C31" s="227">
        <f>SUM(C28:C30)</f>
        <v>944.9583333333334</v>
      </c>
      <c r="D31" s="227">
        <f>SUM(D28:D30)</f>
        <v>1007.5</v>
      </c>
    </row>
    <row r="32" spans="1:4" ht="12">
      <c r="A32" s="266" t="s">
        <v>172</v>
      </c>
      <c r="B32" s="223">
        <f>Basiswerte!B12</f>
        <v>1970</v>
      </c>
      <c r="C32" s="223">
        <f>Basiswerte!C12</f>
        <v>1970</v>
      </c>
      <c r="D32" s="223">
        <f>Basiswerte!D12</f>
        <v>1970</v>
      </c>
    </row>
    <row r="33" spans="1:5" ht="12" customHeight="1">
      <c r="A33" s="264" t="s">
        <v>16</v>
      </c>
      <c r="B33" s="229">
        <f>B31/B32</f>
        <v>0</v>
      </c>
      <c r="C33" s="229">
        <f>C31/C32</f>
        <v>0.47967428087986463</v>
      </c>
      <c r="D33" s="229">
        <f>D31/D32</f>
        <v>0.5114213197969543</v>
      </c>
      <c r="E33" s="7"/>
    </row>
    <row r="34" spans="1:6" s="12" customFormat="1" ht="12" customHeight="1">
      <c r="A34" s="271" t="s">
        <v>112</v>
      </c>
      <c r="B34" s="230">
        <f>Basiswerte!B26</f>
        <v>98926</v>
      </c>
      <c r="C34" s="230">
        <f>Basiswerte!C26</f>
        <v>98926</v>
      </c>
      <c r="D34" s="230">
        <f>Basiswerte!D26</f>
        <v>98926</v>
      </c>
      <c r="E34" s="2"/>
      <c r="F34" s="2"/>
    </row>
    <row r="35" spans="1:4" s="8" customFormat="1" ht="15" customHeight="1">
      <c r="A35" s="268" t="s">
        <v>76</v>
      </c>
      <c r="B35" s="236">
        <f>ROUND(B33*B34,0)</f>
        <v>0</v>
      </c>
      <c r="C35" s="236">
        <f>ROUND(C33*C34,0)</f>
        <v>47452</v>
      </c>
      <c r="D35" s="236">
        <f>ROUND(D33*D34,0)</f>
        <v>50593</v>
      </c>
    </row>
    <row r="36" spans="1:4" s="214" customFormat="1" ht="12">
      <c r="A36" s="265" t="s">
        <v>108</v>
      </c>
      <c r="B36" s="234"/>
      <c r="C36" s="235"/>
      <c r="D36" s="235"/>
    </row>
    <row r="37" spans="1:4" ht="12">
      <c r="A37" s="266" t="s">
        <v>97</v>
      </c>
      <c r="B37" s="221">
        <f>Belegungsplan_Jahr1!BH14</f>
        <v>14.833333333333334</v>
      </c>
      <c r="C37" s="223">
        <f>Belegungsplan_Jahr2!BH14</f>
        <v>9.916666666666668</v>
      </c>
      <c r="D37" s="223">
        <f>Belegungsplan_Jahr3!BH14</f>
        <v>23.416666666666668</v>
      </c>
    </row>
    <row r="38" spans="1:4" ht="12">
      <c r="A38" s="264" t="s">
        <v>34</v>
      </c>
      <c r="B38" s="222">
        <f>B37*B7</f>
        <v>578.5</v>
      </c>
      <c r="C38" s="222">
        <f>C37*C7</f>
        <v>386.75000000000006</v>
      </c>
      <c r="D38" s="222">
        <f>D37*D7</f>
        <v>913.25</v>
      </c>
    </row>
    <row r="39" spans="1:4" ht="12">
      <c r="A39" s="266" t="s">
        <v>173</v>
      </c>
      <c r="B39" s="223">
        <f>B38*Basiswerte!B20</f>
        <v>7.416666666666666</v>
      </c>
      <c r="C39" s="223">
        <f>C38*Basiswerte!C20</f>
        <v>4.958333333333334</v>
      </c>
      <c r="D39" s="223">
        <f>D38*Basiswerte!D20</f>
        <v>11.708333333333332</v>
      </c>
    </row>
    <row r="40" spans="1:4" s="4" customFormat="1" ht="12">
      <c r="A40" s="267" t="s">
        <v>106</v>
      </c>
      <c r="B40" s="223">
        <f>IF(B37&gt;0,Basiswerte!B17,0)</f>
        <v>20</v>
      </c>
      <c r="C40" s="223">
        <f>IF(C37&gt;0,Basiswerte!C17,0)</f>
        <v>20</v>
      </c>
      <c r="D40" s="223">
        <f>IF(D37&gt;0,Basiswerte!D17,0)</f>
        <v>20</v>
      </c>
    </row>
    <row r="41" spans="1:4" ht="12">
      <c r="A41" s="270" t="s">
        <v>42</v>
      </c>
      <c r="B41" s="232">
        <f>SUM(B38:B40)</f>
        <v>605.9166666666666</v>
      </c>
      <c r="C41" s="232">
        <f>SUM(C38:C40)</f>
        <v>411.70833333333337</v>
      </c>
      <c r="D41" s="232">
        <f>SUM(D38:D40)</f>
        <v>944.9583333333334</v>
      </c>
    </row>
    <row r="42" spans="1:4" ht="12">
      <c r="A42" s="266" t="s">
        <v>172</v>
      </c>
      <c r="B42" s="223">
        <f>Basiswerte!B12</f>
        <v>1970</v>
      </c>
      <c r="C42" s="223">
        <f>Basiswerte!C12</f>
        <v>1970</v>
      </c>
      <c r="D42" s="223">
        <f>Basiswerte!D12</f>
        <v>1970</v>
      </c>
    </row>
    <row r="43" spans="1:4" ht="12">
      <c r="A43" s="264" t="s">
        <v>16</v>
      </c>
      <c r="B43" s="233">
        <f>B41/B42</f>
        <v>0.30757191201353634</v>
      </c>
      <c r="C43" s="233">
        <f>C41/C42</f>
        <v>0.2089890016920474</v>
      </c>
      <c r="D43" s="233">
        <f>D41/D42</f>
        <v>0.47967428087986463</v>
      </c>
    </row>
    <row r="44" spans="1:4" ht="12">
      <c r="A44" s="271" t="s">
        <v>160</v>
      </c>
      <c r="B44" s="220">
        <f>Basiswerte!B27</f>
        <v>63000</v>
      </c>
      <c r="C44" s="220">
        <f>Basiswerte!C27</f>
        <v>63000</v>
      </c>
      <c r="D44" s="220">
        <f>Basiswerte!D27</f>
        <v>63000</v>
      </c>
    </row>
    <row r="45" spans="1:4" s="8" customFormat="1" ht="15" customHeight="1">
      <c r="A45" s="268" t="s">
        <v>105</v>
      </c>
      <c r="B45" s="236">
        <f>B44*B43</f>
        <v>19377.03045685279</v>
      </c>
      <c r="C45" s="236">
        <f>C44*C43</f>
        <v>13166.307106598986</v>
      </c>
      <c r="D45" s="236">
        <f>D44*D43</f>
        <v>30219.479695431473</v>
      </c>
    </row>
    <row r="46" spans="1:4" s="214" customFormat="1" ht="12">
      <c r="A46" s="265" t="s">
        <v>55</v>
      </c>
      <c r="B46" s="234"/>
      <c r="C46" s="235"/>
      <c r="D46" s="235"/>
    </row>
    <row r="47" spans="1:4" ht="12">
      <c r="A47" s="266" t="s">
        <v>97</v>
      </c>
      <c r="B47" s="221">
        <f>Belegungsplan_Jahr1!BH15</f>
        <v>0</v>
      </c>
      <c r="C47" s="223">
        <f>Belegungsplan_Jahr2!BH15</f>
        <v>0</v>
      </c>
      <c r="D47" s="223">
        <f>Belegungsplan_Jahr3!BH15</f>
        <v>7.333333333333337</v>
      </c>
    </row>
    <row r="48" spans="1:4" ht="12">
      <c r="A48" s="264" t="s">
        <v>34</v>
      </c>
      <c r="B48" s="222">
        <f>B47*B7</f>
        <v>0</v>
      </c>
      <c r="C48" s="222">
        <f>C47*C7</f>
        <v>0</v>
      </c>
      <c r="D48" s="222">
        <f>D47*D7</f>
        <v>286.0000000000001</v>
      </c>
    </row>
    <row r="49" spans="1:4" ht="12">
      <c r="A49" s="266" t="s">
        <v>173</v>
      </c>
      <c r="B49" s="223">
        <f>B48*Basiswerte!B20</f>
        <v>0</v>
      </c>
      <c r="C49" s="223">
        <f>C48*Basiswerte!C20</f>
        <v>0</v>
      </c>
      <c r="D49" s="223">
        <f>D48*Basiswerte!D20</f>
        <v>3.666666666666668</v>
      </c>
    </row>
    <row r="50" spans="1:4" s="4" customFormat="1" ht="12">
      <c r="A50" s="267" t="s">
        <v>106</v>
      </c>
      <c r="B50" s="223">
        <f>IF(B47&gt;0,Basiswerte!B17,0)</f>
        <v>0</v>
      </c>
      <c r="C50" s="223">
        <f>IF(C47&gt;0,Basiswerte!C17,0)</f>
        <v>0</v>
      </c>
      <c r="D50" s="223">
        <f>IF(D47&gt;0,Basiswerte!D17,0)</f>
        <v>20</v>
      </c>
    </row>
    <row r="51" spans="1:4" ht="12">
      <c r="A51" s="270" t="s">
        <v>42</v>
      </c>
      <c r="B51" s="232">
        <f>SUM(B48:B50)</f>
        <v>0</v>
      </c>
      <c r="C51" s="232">
        <f>SUM(C48:C50)</f>
        <v>0</v>
      </c>
      <c r="D51" s="232">
        <f>SUM(D48:D50)</f>
        <v>309.6666666666668</v>
      </c>
    </row>
    <row r="52" spans="1:4" ht="12">
      <c r="A52" s="266" t="s">
        <v>172</v>
      </c>
      <c r="B52" s="223">
        <f>Basiswerte!B12</f>
        <v>1970</v>
      </c>
      <c r="C52" s="223">
        <f>Basiswerte!C12</f>
        <v>1970</v>
      </c>
      <c r="D52" s="223">
        <f>Basiswerte!D12</f>
        <v>1970</v>
      </c>
    </row>
    <row r="53" spans="1:4" ht="12">
      <c r="A53" s="264" t="s">
        <v>16</v>
      </c>
      <c r="B53" s="233">
        <f>B51/B52</f>
        <v>0</v>
      </c>
      <c r="C53" s="233">
        <f>C51/C52</f>
        <v>0</v>
      </c>
      <c r="D53" s="233">
        <f>D51/D52</f>
        <v>0.15719120135363798</v>
      </c>
    </row>
    <row r="54" spans="1:4" ht="12">
      <c r="A54" s="271" t="s">
        <v>160</v>
      </c>
      <c r="B54" s="220">
        <f>Basiswerte!B27</f>
        <v>63000</v>
      </c>
      <c r="C54" s="220">
        <f>Basiswerte!C27</f>
        <v>63000</v>
      </c>
      <c r="D54" s="220">
        <f>Basiswerte!D27</f>
        <v>63000</v>
      </c>
    </row>
    <row r="55" spans="1:4" s="8" customFormat="1" ht="15" customHeight="1">
      <c r="A55" s="272" t="s">
        <v>77</v>
      </c>
      <c r="B55" s="237">
        <f>B54*B53</f>
        <v>0</v>
      </c>
      <c r="C55" s="237">
        <f>C54*C53</f>
        <v>0</v>
      </c>
      <c r="D55" s="237">
        <f>D54*D53</f>
        <v>9903.045685279192</v>
      </c>
    </row>
    <row r="57" ht="12">
      <c r="A57" s="29" t="s">
        <v>127</v>
      </c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portrait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A29" sqref="A29"/>
    </sheetView>
  </sheetViews>
  <sheetFormatPr defaultColWidth="11.00390625" defaultRowHeight="12"/>
  <cols>
    <col min="1" max="1" width="34.375" style="10" customWidth="1"/>
    <col min="2" max="4" width="8.875" style="2" customWidth="1"/>
    <col min="5" max="5" width="5.625" style="22" customWidth="1"/>
    <col min="6" max="6" width="31.875" style="9" bestFit="1" customWidth="1"/>
    <col min="7" max="7" width="24.375" style="2" customWidth="1"/>
    <col min="8" max="16384" width="10.875" style="2" customWidth="1"/>
  </cols>
  <sheetData>
    <row r="1" spans="1:6" ht="12">
      <c r="A1" s="4" t="str">
        <f>Basiswerte!A1</f>
        <v>Budgettool zur Berechnung der Betriebskosten einer modularen Tagesstruktur</v>
      </c>
      <c r="F1" s="5"/>
    </row>
    <row r="2" ht="12">
      <c r="A2" s="4" t="str">
        <f>Basiswerte!A2</f>
        <v>Variante Catering</v>
      </c>
    </row>
    <row r="3" spans="1:6" s="3" customFormat="1" ht="12">
      <c r="A3" s="41"/>
      <c r="E3" s="23"/>
      <c r="F3" s="20"/>
    </row>
    <row r="4" spans="1:6" s="3" customFormat="1" ht="12">
      <c r="A4" s="38" t="s">
        <v>169</v>
      </c>
      <c r="E4" s="23"/>
      <c r="F4" s="20"/>
    </row>
    <row r="5" spans="1:6" s="3" customFormat="1" ht="12">
      <c r="A5" s="41"/>
      <c r="E5" s="23"/>
      <c r="F5" s="20"/>
    </row>
    <row r="6" spans="1:6" s="3" customFormat="1" ht="12">
      <c r="A6" s="4" t="s">
        <v>119</v>
      </c>
      <c r="E6" s="23"/>
      <c r="F6" s="20"/>
    </row>
    <row r="7" spans="1:6" s="3" customFormat="1" ht="12">
      <c r="A7" s="4" t="s">
        <v>122</v>
      </c>
      <c r="B7" s="2"/>
      <c r="C7" s="2"/>
      <c r="D7" s="2"/>
      <c r="E7" s="23"/>
      <c r="F7" s="20"/>
    </row>
    <row r="8" spans="1:6" s="3" customFormat="1" ht="12">
      <c r="A8" s="4" t="s">
        <v>175</v>
      </c>
      <c r="B8" s="144">
        <v>1</v>
      </c>
      <c r="C8" s="2"/>
      <c r="D8" s="2"/>
      <c r="E8" s="23"/>
      <c r="F8" s="20"/>
    </row>
    <row r="9" spans="1:6" s="3" customFormat="1" ht="12">
      <c r="A9" s="4"/>
      <c r="B9" s="2"/>
      <c r="C9" s="2"/>
      <c r="D9" s="2"/>
      <c r="E9" s="23"/>
      <c r="F9" s="20"/>
    </row>
    <row r="10" spans="1:6" s="3" customFormat="1" ht="12">
      <c r="A10" s="4"/>
      <c r="B10" s="2"/>
      <c r="C10" s="2"/>
      <c r="D10" s="2"/>
      <c r="E10" s="23"/>
      <c r="F10" s="20"/>
    </row>
    <row r="11" spans="1:6" s="3" customFormat="1" ht="12">
      <c r="A11" s="41" t="s">
        <v>37</v>
      </c>
      <c r="E11" s="23"/>
      <c r="F11" s="20"/>
    </row>
    <row r="12" spans="1:6" s="6" customFormat="1" ht="12">
      <c r="A12" s="275"/>
      <c r="B12" s="42" t="s">
        <v>47</v>
      </c>
      <c r="C12" s="42" t="s">
        <v>182</v>
      </c>
      <c r="D12" s="42" t="s">
        <v>132</v>
      </c>
      <c r="E12" s="33"/>
      <c r="F12" s="10"/>
    </row>
    <row r="13" spans="1:5" s="11" customFormat="1" ht="12">
      <c r="A13" s="14" t="s">
        <v>26</v>
      </c>
      <c r="B13" s="223">
        <f>Basiswerte!B9</f>
        <v>15</v>
      </c>
      <c r="C13" s="223">
        <f>Basiswerte!C9</f>
        <v>30</v>
      </c>
      <c r="D13" s="223">
        <f>Basiswerte!D9</f>
        <v>40</v>
      </c>
      <c r="E13" s="25"/>
    </row>
    <row r="14" spans="1:6" s="11" customFormat="1" ht="12">
      <c r="A14" s="14" t="s">
        <v>166</v>
      </c>
      <c r="B14" s="238">
        <f>Belegungsplan_Jahr1!BH25</f>
        <v>7.9</v>
      </c>
      <c r="C14" s="238">
        <f>Belegungsplan_Jahr2!BH25</f>
        <v>16.52</v>
      </c>
      <c r="D14" s="238">
        <f>Belegungsplan_Jahr3!BH25</f>
        <v>24.139999999999997</v>
      </c>
      <c r="E14" s="28"/>
      <c r="F14" s="19"/>
    </row>
    <row r="15" spans="1:6" s="11" customFormat="1" ht="12">
      <c r="A15" s="14" t="s">
        <v>17</v>
      </c>
      <c r="B15" s="223">
        <f>Basiswerte!B7*Basiswerte!B8</f>
        <v>195</v>
      </c>
      <c r="C15" s="223">
        <f>Basiswerte!C7*Basiswerte!C8</f>
        <v>195</v>
      </c>
      <c r="D15" s="223">
        <f>Basiswerte!D7*Basiswerte!D8</f>
        <v>195</v>
      </c>
      <c r="E15" s="25"/>
      <c r="F15" s="19"/>
    </row>
    <row r="16" spans="1:6" s="11" customFormat="1" ht="12">
      <c r="A16" s="273" t="s">
        <v>167</v>
      </c>
      <c r="B16" s="223">
        <f>B13*B15</f>
        <v>2925</v>
      </c>
      <c r="C16" s="223">
        <f>C13*C15</f>
        <v>5850</v>
      </c>
      <c r="D16" s="223">
        <f>D13*D15</f>
        <v>7800</v>
      </c>
      <c r="E16" s="25"/>
      <c r="F16" s="19"/>
    </row>
    <row r="17" spans="1:6" s="11" customFormat="1" ht="12">
      <c r="A17" s="274" t="s">
        <v>168</v>
      </c>
      <c r="B17" s="239">
        <f>B14*B15</f>
        <v>1540.5</v>
      </c>
      <c r="C17" s="239">
        <f>C14*C15</f>
        <v>3221.4</v>
      </c>
      <c r="D17" s="239">
        <f>D14*D15</f>
        <v>4707.299999999999</v>
      </c>
      <c r="E17" s="25"/>
      <c r="F17" s="19"/>
    </row>
    <row r="18" spans="1:6" s="14" customFormat="1" ht="12">
      <c r="A18" s="35"/>
      <c r="B18" s="18"/>
      <c r="C18" s="18"/>
      <c r="D18" s="18"/>
      <c r="E18" s="25"/>
      <c r="F18" s="19"/>
    </row>
    <row r="19" spans="1:6" s="14" customFormat="1" ht="12">
      <c r="A19" s="38" t="s">
        <v>99</v>
      </c>
      <c r="E19" s="25"/>
      <c r="F19" s="19"/>
    </row>
    <row r="20" spans="1:6" s="29" customFormat="1" ht="12">
      <c r="A20" s="279"/>
      <c r="B20" s="42" t="str">
        <f>B12</f>
        <v>Jahr 1</v>
      </c>
      <c r="C20" s="42" t="str">
        <f>C12</f>
        <v>Jahr 2</v>
      </c>
      <c r="D20" s="42" t="str">
        <f>D12</f>
        <v>Jahr 3</v>
      </c>
      <c r="E20" s="34"/>
      <c r="F20" s="35"/>
    </row>
    <row r="21" spans="1:5" ht="12">
      <c r="A21" s="276" t="s">
        <v>21</v>
      </c>
      <c r="B21" s="21"/>
      <c r="C21" s="21"/>
      <c r="D21" s="21"/>
      <c r="E21" s="25"/>
    </row>
    <row r="22" spans="1:5" ht="12">
      <c r="A22" s="10" t="s">
        <v>144</v>
      </c>
      <c r="B22" s="231">
        <f>B15/225*B13*1500*B8</f>
        <v>19500</v>
      </c>
      <c r="C22" s="16"/>
      <c r="D22" s="16"/>
      <c r="E22" s="25"/>
    </row>
    <row r="23" spans="1:5" ht="12">
      <c r="A23" s="10" t="s">
        <v>101</v>
      </c>
      <c r="B23" s="231">
        <f>B15/225*1500*B14*B8</f>
        <v>10270</v>
      </c>
      <c r="C23" s="231">
        <f>C15/225*3000*C14*B8</f>
        <v>42952</v>
      </c>
      <c r="D23" s="231">
        <f>D15/225*3000*D14/2*B8</f>
        <v>31381.999999999996</v>
      </c>
      <c r="E23" s="25"/>
    </row>
    <row r="24" spans="1:6" s="12" customFormat="1" ht="16.5" customHeight="1">
      <c r="A24" s="277" t="s">
        <v>114</v>
      </c>
      <c r="B24" s="240">
        <f>SUM(B22:B23)</f>
        <v>29770</v>
      </c>
      <c r="C24" s="240">
        <f>SUM(C22:C23)</f>
        <v>42952</v>
      </c>
      <c r="D24" s="240">
        <f>SUM(D22:D23)</f>
        <v>31381.999999999996</v>
      </c>
      <c r="E24" s="24"/>
      <c r="F24" s="17"/>
    </row>
    <row r="25" ht="12.75">
      <c r="A25" s="278"/>
    </row>
    <row r="26" ht="12.75">
      <c r="A26" s="10"/>
    </row>
    <row r="27" ht="12" customHeight="1">
      <c r="A27" s="278"/>
    </row>
    <row r="28" ht="12" customHeight="1">
      <c r="A28" s="278"/>
    </row>
    <row r="29" ht="12" customHeight="1">
      <c r="A29" s="29" t="s">
        <v>127</v>
      </c>
    </row>
    <row r="30" ht="12" customHeight="1">
      <c r="A30" s="278"/>
    </row>
    <row r="31" ht="12.75">
      <c r="A31" s="278"/>
    </row>
    <row r="32" ht="12.75">
      <c r="A32" s="278"/>
    </row>
    <row r="33" ht="12.75">
      <c r="A33" s="278"/>
    </row>
    <row r="34" ht="12.75">
      <c r="A34" s="278"/>
    </row>
    <row r="35" ht="12.75">
      <c r="A35" s="278"/>
    </row>
    <row r="36" ht="12.75">
      <c r="A36" s="278"/>
    </row>
    <row r="37" ht="12.75">
      <c r="A37" s="278"/>
    </row>
    <row r="38" ht="12.75">
      <c r="A38" s="278"/>
    </row>
    <row r="39" ht="12.75">
      <c r="A39" s="278"/>
    </row>
    <row r="40" ht="12.75">
      <c r="A40" s="278"/>
    </row>
    <row r="41" ht="12.75">
      <c r="A41" s="278"/>
    </row>
    <row r="42" ht="12.75">
      <c r="A42" s="278"/>
    </row>
    <row r="43" ht="12.75">
      <c r="A43" s="278"/>
    </row>
    <row r="44" ht="12.75">
      <c r="A44" s="278"/>
    </row>
    <row r="45" ht="12.75">
      <c r="A45" s="278"/>
    </row>
    <row r="46" ht="12.75">
      <c r="A46" s="278"/>
    </row>
    <row r="47" ht="12.75">
      <c r="A47" s="278"/>
    </row>
    <row r="48" ht="12.75">
      <c r="A48" s="278"/>
    </row>
    <row r="49" ht="12.75">
      <c r="A49" s="278"/>
    </row>
    <row r="50" ht="12.75">
      <c r="A50" s="278"/>
    </row>
    <row r="51" ht="12.75">
      <c r="A51" s="278"/>
    </row>
    <row r="52" ht="12.75">
      <c r="A52" s="278"/>
    </row>
    <row r="53" ht="12.75">
      <c r="A53" s="278"/>
    </row>
    <row r="54" ht="12.75">
      <c r="A54" s="278"/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portrait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="150" zoomScaleNormal="150" workbookViewId="0" topLeftCell="A1">
      <selection activeCell="B55" sqref="B55:D55"/>
    </sheetView>
  </sheetViews>
  <sheetFormatPr defaultColWidth="11.00390625" defaultRowHeight="12"/>
  <cols>
    <col min="1" max="1" width="38.375" style="10" customWidth="1"/>
    <col min="2" max="3" width="8.875" style="2" customWidth="1"/>
    <col min="4" max="4" width="8.875" style="22" customWidth="1"/>
    <col min="5" max="5" width="31.875" style="9" bestFit="1" customWidth="1"/>
    <col min="6" max="6" width="24.375" style="2" customWidth="1"/>
    <col min="7" max="16384" width="10.875" style="2" customWidth="1"/>
  </cols>
  <sheetData>
    <row r="1" spans="1:5" ht="12">
      <c r="A1" s="4" t="str">
        <f>Basiswerte!A1</f>
        <v>Budgettool zur Berechnung der Betriebskosten einer modularen Tagesstruktur</v>
      </c>
      <c r="E1" s="5"/>
    </row>
    <row r="2" ht="12">
      <c r="A2" s="4" t="str">
        <f>Basiswerte!A2</f>
        <v>Variante Catering</v>
      </c>
    </row>
    <row r="3" spans="1:5" s="3" customFormat="1" ht="12">
      <c r="A3" s="41"/>
      <c r="D3" s="23"/>
      <c r="E3" s="20"/>
    </row>
    <row r="4" spans="1:5" s="3" customFormat="1" ht="12">
      <c r="A4" s="41"/>
      <c r="D4" s="23"/>
      <c r="E4" s="20"/>
    </row>
    <row r="5" spans="1:5" s="6" customFormat="1" ht="12">
      <c r="A5" s="250" t="s">
        <v>37</v>
      </c>
      <c r="B5" s="42" t="s">
        <v>47</v>
      </c>
      <c r="C5" s="42" t="s">
        <v>182</v>
      </c>
      <c r="D5" s="42" t="s">
        <v>132</v>
      </c>
      <c r="E5" s="10"/>
    </row>
    <row r="6" spans="1:5" s="6" customFormat="1" ht="12">
      <c r="A6" s="10" t="s">
        <v>51</v>
      </c>
      <c r="B6" s="241">
        <f>Basiswerte!B7*Basiswerte!B8</f>
        <v>195</v>
      </c>
      <c r="C6" s="241">
        <f>Basiswerte!C7*Basiswerte!C8</f>
        <v>195</v>
      </c>
      <c r="D6" s="241">
        <f>Basiswerte!D7*Basiswerte!D8</f>
        <v>195</v>
      </c>
      <c r="E6" s="10"/>
    </row>
    <row r="7" spans="1:4" s="11" customFormat="1" ht="12">
      <c r="A7" s="14" t="s">
        <v>181</v>
      </c>
      <c r="B7" s="223">
        <f>Basiswerte!B9</f>
        <v>15</v>
      </c>
      <c r="C7" s="223">
        <f>Basiswerte!C9</f>
        <v>30</v>
      </c>
      <c r="D7" s="223">
        <f>Basiswerte!D9</f>
        <v>40</v>
      </c>
    </row>
    <row r="8" spans="1:4" s="11" customFormat="1" ht="22.5">
      <c r="A8" s="280" t="s">
        <v>148</v>
      </c>
      <c r="B8" s="222">
        <f>Belegungsplan_Jahr1!BH25</f>
        <v>7.9</v>
      </c>
      <c r="C8" s="222">
        <f>Belegungsplan_Jahr2!BH25</f>
        <v>16.52</v>
      </c>
      <c r="D8" s="222">
        <f>Belegungsplan_Jahr3!BH25</f>
        <v>24.139999999999997</v>
      </c>
    </row>
    <row r="9" spans="1:5" s="11" customFormat="1" ht="12">
      <c r="A9" s="14" t="s">
        <v>36</v>
      </c>
      <c r="B9" s="223">
        <f>Belegungsplan_Jahr1!BH23</f>
        <v>46</v>
      </c>
      <c r="C9" s="223">
        <f>Belegungsplan_Jahr2!BH23</f>
        <v>91</v>
      </c>
      <c r="D9" s="223">
        <f>Belegungsplan_Jahr3!BH23</f>
        <v>132</v>
      </c>
      <c r="E9" s="19"/>
    </row>
    <row r="10" spans="1:5" s="11" customFormat="1" ht="12">
      <c r="A10" s="14" t="s">
        <v>176</v>
      </c>
      <c r="B10" s="231">
        <f>B9*Basiswerte!B7</f>
        <v>1794</v>
      </c>
      <c r="C10" s="231">
        <f>C9*Basiswerte!C7</f>
        <v>3549</v>
      </c>
      <c r="D10" s="231">
        <f>D9*Basiswerte!D7</f>
        <v>5148</v>
      </c>
      <c r="E10" s="19"/>
    </row>
    <row r="11" spans="1:5" s="11" customFormat="1" ht="12">
      <c r="A11" s="14" t="s">
        <v>22</v>
      </c>
      <c r="B11" s="231">
        <f>Belegungsplan_Jahr1!BH24</f>
        <v>13</v>
      </c>
      <c r="C11" s="231">
        <f>Belegungsplan_Jahr2!BH24</f>
        <v>31</v>
      </c>
      <c r="D11" s="231">
        <f>Belegungsplan_Jahr3!BH24</f>
        <v>51</v>
      </c>
      <c r="E11" s="19"/>
    </row>
    <row r="12" spans="1:5" s="11" customFormat="1" ht="12">
      <c r="A12" s="14" t="s">
        <v>23</v>
      </c>
      <c r="B12" s="231">
        <f>B11*Basiswerte!B7</f>
        <v>507</v>
      </c>
      <c r="C12" s="231">
        <f>C11*Basiswerte!C7</f>
        <v>1209</v>
      </c>
      <c r="D12" s="231">
        <f>D11*Basiswerte!D7</f>
        <v>1989</v>
      </c>
      <c r="E12" s="19"/>
    </row>
    <row r="13" spans="1:5" s="11" customFormat="1" ht="12">
      <c r="A13" s="273" t="s">
        <v>120</v>
      </c>
      <c r="B13" s="231">
        <f>Belegungsplan_Jahr1!BH22*Basiswerte!B7</f>
        <v>8001.500000000001</v>
      </c>
      <c r="C13" s="231">
        <f>Belegungsplan_Jahr2!BH22*Basiswerte!C7</f>
        <v>17221.750000000004</v>
      </c>
      <c r="D13" s="231">
        <f>Belegungsplan_Jahr3!BH22*Basiswerte!D7</f>
        <v>25694.5</v>
      </c>
      <c r="E13" s="19"/>
    </row>
    <row r="14" spans="1:5" s="11" customFormat="1" ht="12">
      <c r="A14" s="273" t="s">
        <v>52</v>
      </c>
      <c r="B14" s="231">
        <f>B7*B6</f>
        <v>2925</v>
      </c>
      <c r="C14" s="231">
        <f>C7*C6</f>
        <v>5850</v>
      </c>
      <c r="D14" s="231">
        <f>D7*D6</f>
        <v>7800</v>
      </c>
      <c r="E14" s="19"/>
    </row>
    <row r="15" spans="1:5" s="11" customFormat="1" ht="12">
      <c r="A15" s="274" t="s">
        <v>53</v>
      </c>
      <c r="B15" s="220">
        <f>B8*B6</f>
        <v>1540.5</v>
      </c>
      <c r="C15" s="220">
        <f>C8*C6</f>
        <v>3221.4</v>
      </c>
      <c r="D15" s="220">
        <f>D8*D6</f>
        <v>4707.299999999999</v>
      </c>
      <c r="E15" s="19"/>
    </row>
    <row r="16" spans="2:5" s="14" customFormat="1" ht="12">
      <c r="B16" s="13"/>
      <c r="C16" s="13"/>
      <c r="D16" s="13"/>
      <c r="E16" s="19"/>
    </row>
    <row r="17" spans="1:5" s="11" customFormat="1" ht="12">
      <c r="A17" s="14"/>
      <c r="B17" s="14"/>
      <c r="C17" s="14"/>
      <c r="D17" s="14"/>
      <c r="E17" s="19"/>
    </row>
    <row r="18" spans="1:5" s="45" customFormat="1" ht="12">
      <c r="A18" s="251" t="s">
        <v>27</v>
      </c>
      <c r="B18" s="252" t="str">
        <f>B5</f>
        <v>Jahr 1</v>
      </c>
      <c r="C18" s="252" t="str">
        <f>C5</f>
        <v>Jahr 2</v>
      </c>
      <c r="D18" s="252" t="str">
        <f>D5</f>
        <v>Jahr 3</v>
      </c>
      <c r="E18" s="32"/>
    </row>
    <row r="19" spans="1:4" ht="12">
      <c r="A19" s="281" t="s">
        <v>6</v>
      </c>
      <c r="B19" s="21"/>
      <c r="C19" s="21"/>
      <c r="D19" s="21"/>
    </row>
    <row r="20" spans="1:4" ht="12">
      <c r="A20" s="10" t="s">
        <v>92</v>
      </c>
      <c r="B20" s="231">
        <f>'Arbeitszeit, Löhne'!B11</f>
        <v>2375.634517766497</v>
      </c>
      <c r="C20" s="231">
        <f>'Arbeitszeit, Löhne'!C11</f>
        <v>2375.634517766497</v>
      </c>
      <c r="D20" s="231">
        <f>'Arbeitszeit, Löhne'!D11</f>
        <v>2375.634517766497</v>
      </c>
    </row>
    <row r="21" spans="1:4" ht="12">
      <c r="A21" s="10" t="s">
        <v>91</v>
      </c>
      <c r="B21" s="231">
        <f>'Arbeitszeit, Löhne'!B15</f>
        <v>17098.896700507616</v>
      </c>
      <c r="C21" s="231">
        <f>'Arbeitszeit, Löhne'!C15</f>
        <v>17098.896700507616</v>
      </c>
      <c r="D21" s="231">
        <f>'Arbeitszeit, Löhne'!D15</f>
        <v>22798.528934010155</v>
      </c>
    </row>
    <row r="22" spans="1:4" ht="12">
      <c r="A22" s="10" t="s">
        <v>180</v>
      </c>
      <c r="B22" s="231">
        <f>'Arbeitszeit, Löhne'!B25</f>
        <v>36714</v>
      </c>
      <c r="C22" s="231">
        <f>'Arbeitszeit, Löhne'!C25</f>
        <v>57224</v>
      </c>
      <c r="D22" s="231">
        <f>'Arbeitszeit, Löhne'!D25</f>
        <v>57732</v>
      </c>
    </row>
    <row r="23" spans="1:4" ht="12">
      <c r="A23" s="10" t="s">
        <v>76</v>
      </c>
      <c r="B23" s="231">
        <f>'Arbeitszeit, Löhne'!B35</f>
        <v>0</v>
      </c>
      <c r="C23" s="231">
        <f>'Arbeitszeit, Löhne'!C35</f>
        <v>47452</v>
      </c>
      <c r="D23" s="231">
        <f>'Arbeitszeit, Löhne'!D35</f>
        <v>50593</v>
      </c>
    </row>
    <row r="24" spans="1:4" ht="12">
      <c r="A24" s="10" t="s">
        <v>105</v>
      </c>
      <c r="B24" s="231">
        <f>'Arbeitszeit, Löhne'!B45</f>
        <v>19377.03045685279</v>
      </c>
      <c r="C24" s="231">
        <f>'Arbeitszeit, Löhne'!C45</f>
        <v>13166.307106598986</v>
      </c>
      <c r="D24" s="231">
        <f>'Arbeitszeit, Löhne'!D45</f>
        <v>30219.479695431473</v>
      </c>
    </row>
    <row r="25" spans="1:4" ht="12">
      <c r="A25" s="10" t="s">
        <v>77</v>
      </c>
      <c r="B25" s="231">
        <f>'Arbeitszeit, Löhne'!B55</f>
        <v>0</v>
      </c>
      <c r="C25" s="231">
        <f>'Arbeitszeit, Löhne'!C55</f>
        <v>0</v>
      </c>
      <c r="D25" s="231">
        <f>'Arbeitszeit, Löhne'!D55</f>
        <v>9903.045685279192</v>
      </c>
    </row>
    <row r="26" spans="1:5" s="12" customFormat="1" ht="12">
      <c r="A26" s="282" t="s">
        <v>18</v>
      </c>
      <c r="B26" s="242">
        <f>SUM(B20:B24)</f>
        <v>75565.5616751269</v>
      </c>
      <c r="C26" s="242">
        <f>SUM(C20:C24)</f>
        <v>137316.8383248731</v>
      </c>
      <c r="D26" s="242">
        <f>SUM(D20:D25)</f>
        <v>173621.68883248733</v>
      </c>
      <c r="E26" s="17"/>
    </row>
    <row r="27" spans="1:5" s="12" customFormat="1" ht="12">
      <c r="A27" s="35" t="s">
        <v>94</v>
      </c>
      <c r="B27" s="59">
        <f>B26*Basiswerte!B29</f>
        <v>13488.45275901015</v>
      </c>
      <c r="C27" s="59">
        <f>C26*Basiswerte!C29</f>
        <v>24511.055640989845</v>
      </c>
      <c r="D27" s="59">
        <f>D26*Basiswerte!D29</f>
        <v>30991.471456598985</v>
      </c>
      <c r="E27" s="17"/>
    </row>
    <row r="28" spans="1:5" s="12" customFormat="1" ht="12">
      <c r="A28" s="35" t="s">
        <v>90</v>
      </c>
      <c r="B28" s="59">
        <f>Basiswerte!B21*B26</f>
        <v>1611.0424316524516</v>
      </c>
      <c r="C28" s="59">
        <f>Basiswerte!C21*C26</f>
        <v>2927.5671114947563</v>
      </c>
      <c r="D28" s="59">
        <f>Basiswerte!D21*D26</f>
        <v>3701.579152773841</v>
      </c>
      <c r="E28" s="17"/>
    </row>
    <row r="29" spans="1:5" s="12" customFormat="1" ht="12">
      <c r="A29" s="35" t="s">
        <v>174</v>
      </c>
      <c r="B29" s="59">
        <f>Basiswerte!B22*B26</f>
        <v>2266.966850253807</v>
      </c>
      <c r="C29" s="59">
        <f>Basiswerte!C22*C26</f>
        <v>4119.505149746193</v>
      </c>
      <c r="D29" s="59">
        <f>Basiswerte!D22*D26</f>
        <v>5208.65066497462</v>
      </c>
      <c r="E29" s="17"/>
    </row>
    <row r="30" spans="1:5" s="8" customFormat="1" ht="18" customHeight="1">
      <c r="A30" s="283" t="s">
        <v>45</v>
      </c>
      <c r="B30" s="247">
        <f>SUM(B26:B29)</f>
        <v>92932.02371604332</v>
      </c>
      <c r="C30" s="247">
        <f>SUM(C26:C29)</f>
        <v>168874.9662271039</v>
      </c>
      <c r="D30" s="247">
        <f>SUM(D26:D29)</f>
        <v>213523.39010683476</v>
      </c>
      <c r="E30" s="246"/>
    </row>
    <row r="31" ht="12">
      <c r="D31" s="2"/>
    </row>
    <row r="32" spans="1:5" s="12" customFormat="1" ht="12">
      <c r="A32" s="284" t="s">
        <v>25</v>
      </c>
      <c r="B32" s="27"/>
      <c r="C32" s="27"/>
      <c r="D32" s="27"/>
      <c r="E32" s="17"/>
    </row>
    <row r="33" spans="1:5" s="12" customFormat="1" ht="12">
      <c r="A33" s="17" t="s">
        <v>41</v>
      </c>
      <c r="B33" s="53">
        <f>Basiswerte!B40*B7</f>
        <v>60</v>
      </c>
      <c r="C33" s="53">
        <f>Basiswerte!C40*C7</f>
        <v>120</v>
      </c>
      <c r="D33" s="53">
        <f>Basiswerte!D40*D7</f>
        <v>160</v>
      </c>
      <c r="E33" s="17"/>
    </row>
    <row r="34" spans="1:4" s="17" customFormat="1" ht="12">
      <c r="A34" s="17" t="s">
        <v>88</v>
      </c>
      <c r="B34" s="59">
        <f>Basiswerte!B39</f>
        <v>240</v>
      </c>
      <c r="C34" s="59">
        <f>Basiswerte!C39</f>
        <v>240</v>
      </c>
      <c r="D34" s="59">
        <f>Basiswerte!D39</f>
        <v>240</v>
      </c>
    </row>
    <row r="35" spans="1:5" s="8" customFormat="1" ht="18" customHeight="1">
      <c r="A35" s="283" t="s">
        <v>89</v>
      </c>
      <c r="B35" s="247">
        <f>B33*B34</f>
        <v>14400</v>
      </c>
      <c r="C35" s="247">
        <f>C33*C34</f>
        <v>28800</v>
      </c>
      <c r="D35" s="247">
        <f>D33*D34</f>
        <v>38400</v>
      </c>
      <c r="E35" s="246"/>
    </row>
    <row r="36" spans="1:4" s="17" customFormat="1" ht="12">
      <c r="A36" s="35"/>
      <c r="B36" s="18"/>
      <c r="C36" s="18"/>
      <c r="D36" s="18"/>
    </row>
    <row r="37" spans="1:5" s="12" customFormat="1" ht="12">
      <c r="A37" s="285" t="s">
        <v>161</v>
      </c>
      <c r="B37" s="27"/>
      <c r="C37" s="27"/>
      <c r="D37" s="27"/>
      <c r="E37" s="17"/>
    </row>
    <row r="38" spans="1:5" s="12" customFormat="1" ht="12" customHeight="1">
      <c r="A38" s="35" t="s">
        <v>100</v>
      </c>
      <c r="B38" s="59">
        <f>B8*B6*Basiswerte!B45</f>
        <v>3081</v>
      </c>
      <c r="C38" s="59">
        <f>C8*C6*Basiswerte!C45</f>
        <v>6442.8</v>
      </c>
      <c r="D38" s="59">
        <f>D8*D6*Basiswerte!D45</f>
        <v>9414.599999999999</v>
      </c>
      <c r="E38" s="18"/>
    </row>
    <row r="39" spans="1:5" s="12" customFormat="1" ht="12" customHeight="1">
      <c r="A39" s="35" t="s">
        <v>136</v>
      </c>
      <c r="B39" s="59">
        <f>(B30+B35)*Basiswerte!B44</f>
        <v>5366.601185802167</v>
      </c>
      <c r="C39" s="59">
        <f>(C30+C35)*Basiswerte!C44</f>
        <v>9883.748311355195</v>
      </c>
      <c r="D39" s="59">
        <f>(D30+D35)*Basiswerte!D44</f>
        <v>12596.169505341739</v>
      </c>
      <c r="E39" s="18"/>
    </row>
    <row r="40" spans="1:5" s="8" customFormat="1" ht="18" customHeight="1">
      <c r="A40" s="283" t="s">
        <v>162</v>
      </c>
      <c r="B40" s="247">
        <f>SUM(B38:B39)</f>
        <v>8447.601185802167</v>
      </c>
      <c r="C40" s="247">
        <f>SUM(C38:C39)</f>
        <v>16326.548311355196</v>
      </c>
      <c r="D40" s="247">
        <f>SUM(D38:D39)</f>
        <v>22010.769505341737</v>
      </c>
      <c r="E40" s="246"/>
    </row>
    <row r="41" s="17" customFormat="1" ht="12">
      <c r="A41" s="35"/>
    </row>
    <row r="42" spans="1:5" s="8" customFormat="1" ht="18" customHeight="1">
      <c r="A42" s="286" t="s">
        <v>163</v>
      </c>
      <c r="B42" s="245">
        <f>B30+B35+B40</f>
        <v>115779.62490184548</v>
      </c>
      <c r="C42" s="245">
        <f>C30+C35+C40</f>
        <v>214001.5145384591</v>
      </c>
      <c r="D42" s="245">
        <f>D30+D35+D40</f>
        <v>273934.1596121765</v>
      </c>
      <c r="E42" s="246"/>
    </row>
    <row r="43" spans="2:4" ht="12">
      <c r="B43" s="4"/>
      <c r="C43" s="4"/>
      <c r="D43" s="4"/>
    </row>
    <row r="44" spans="1:5" s="12" customFormat="1" ht="12">
      <c r="A44" s="285" t="s">
        <v>31</v>
      </c>
      <c r="B44" s="27"/>
      <c r="C44" s="27"/>
      <c r="D44" s="27"/>
      <c r="E44" s="17"/>
    </row>
    <row r="45" spans="1:5" s="12" customFormat="1" ht="12">
      <c r="A45" s="35" t="s">
        <v>177</v>
      </c>
      <c r="B45" s="59">
        <f>B12*Basiswerte!B33</f>
        <v>760.5</v>
      </c>
      <c r="C45" s="59">
        <f>C12*Basiswerte!C33</f>
        <v>1813.5</v>
      </c>
      <c r="D45" s="59">
        <f>D12*Basiswerte!D33</f>
        <v>2983.5</v>
      </c>
      <c r="E45" s="17"/>
    </row>
    <row r="46" spans="1:5" s="12" customFormat="1" ht="12">
      <c r="A46" s="35" t="s">
        <v>24</v>
      </c>
      <c r="B46" s="59">
        <f>B8*Basiswerte!B7*Basiswerte!B32</f>
        <v>154.05</v>
      </c>
      <c r="C46" s="59">
        <f>C8*Basiswerte!C7*Basiswerte!C32</f>
        <v>322.14</v>
      </c>
      <c r="D46" s="59">
        <f>D8*Basiswerte!D7*Basiswerte!D32</f>
        <v>470.72999999999996</v>
      </c>
      <c r="E46" s="17"/>
    </row>
    <row r="47" spans="1:5" s="12" customFormat="1" ht="12">
      <c r="A47" s="35" t="s">
        <v>46</v>
      </c>
      <c r="B47" s="243">
        <f>B10*Basiswerte!B31</f>
        <v>14352</v>
      </c>
      <c r="C47" s="243">
        <f>C10*Basiswerte!C31</f>
        <v>28392</v>
      </c>
      <c r="D47" s="243">
        <f>D10*Basiswerte!D31</f>
        <v>41184</v>
      </c>
      <c r="E47" s="17"/>
    </row>
    <row r="48" spans="1:5" s="8" customFormat="1" ht="18" customHeight="1">
      <c r="A48" s="283" t="s">
        <v>93</v>
      </c>
      <c r="B48" s="247">
        <f>SUM(B45:B47)</f>
        <v>15266.55</v>
      </c>
      <c r="C48" s="247">
        <f>SUM(C45:C47)</f>
        <v>30527.64</v>
      </c>
      <c r="D48" s="247">
        <f>SUM(D45:D47)</f>
        <v>44638.23</v>
      </c>
      <c r="E48" s="246"/>
    </row>
    <row r="49" spans="1:5" s="12" customFormat="1" ht="12">
      <c r="A49" s="35"/>
      <c r="B49" s="18"/>
      <c r="C49" s="18"/>
      <c r="D49" s="18"/>
      <c r="E49" s="17"/>
    </row>
    <row r="50" spans="1:5" s="8" customFormat="1" ht="18" customHeight="1">
      <c r="A50" s="286" t="s">
        <v>49</v>
      </c>
      <c r="B50" s="245">
        <f>B42+B48</f>
        <v>131046.17490184549</v>
      </c>
      <c r="C50" s="245">
        <f>C42+C48</f>
        <v>244529.1545384591</v>
      </c>
      <c r="D50" s="245">
        <f>D42+D48</f>
        <v>318572.38961217646</v>
      </c>
      <c r="E50" s="246"/>
    </row>
    <row r="51" spans="1:5" s="12" customFormat="1" ht="12">
      <c r="A51" s="10"/>
      <c r="B51" s="4"/>
      <c r="C51" s="4"/>
      <c r="D51" s="4"/>
      <c r="E51" s="17"/>
    </row>
    <row r="52" spans="2:4" ht="12">
      <c r="B52" s="4"/>
      <c r="C52" s="4"/>
      <c r="D52" s="4"/>
    </row>
    <row r="53" spans="1:5" s="249" customFormat="1" ht="12">
      <c r="A53" s="253" t="s">
        <v>79</v>
      </c>
      <c r="B53" s="252" t="str">
        <f>B5</f>
        <v>Jahr 1</v>
      </c>
      <c r="C53" s="252" t="str">
        <f>C5</f>
        <v>Jahr 2</v>
      </c>
      <c r="D53" s="252" t="str">
        <f>D5</f>
        <v>Jahr 3</v>
      </c>
      <c r="E53" s="248"/>
    </row>
    <row r="54" spans="1:4" ht="12">
      <c r="A54" s="264" t="s">
        <v>145</v>
      </c>
      <c r="B54" s="231">
        <f>Beiträge_Bund!B24</f>
        <v>29770</v>
      </c>
      <c r="C54" s="231">
        <f>Beiträge_Bund!C24</f>
        <v>42952</v>
      </c>
      <c r="D54" s="231">
        <f>Beiträge_Bund!D24</f>
        <v>31381.999999999996</v>
      </c>
    </row>
    <row r="55" spans="1:4" ht="12">
      <c r="A55" s="10" t="s">
        <v>69</v>
      </c>
      <c r="B55" s="231">
        <f>Basiswerte!B35*Budget!B13</f>
        <v>24004.500000000004</v>
      </c>
      <c r="C55" s="231">
        <f>Basiswerte!C35*Budget!C13</f>
        <v>51665.250000000015</v>
      </c>
      <c r="D55" s="231">
        <f>Basiswerte!D35*Budget!D13</f>
        <v>77083.5</v>
      </c>
    </row>
    <row r="56" spans="1:4" ht="12">
      <c r="A56" s="264" t="s">
        <v>137</v>
      </c>
      <c r="B56" s="231">
        <f>B10*Basiswerte!B36</f>
        <v>14352</v>
      </c>
      <c r="C56" s="231">
        <f>C10*Basiswerte!C36</f>
        <v>28392</v>
      </c>
      <c r="D56" s="231">
        <f>D10*Basiswerte!D36</f>
        <v>41184</v>
      </c>
    </row>
    <row r="57" spans="1:4" ht="12">
      <c r="A57" s="287" t="s">
        <v>149</v>
      </c>
      <c r="B57" s="220">
        <f>B12*Basiswerte!B37</f>
        <v>760.5</v>
      </c>
      <c r="C57" s="220">
        <f>C12*Basiswerte!C37</f>
        <v>1813.5</v>
      </c>
      <c r="D57" s="220">
        <f>D12*Basiswerte!D37</f>
        <v>2983.5</v>
      </c>
    </row>
    <row r="58" spans="1:5" s="8" customFormat="1" ht="18" customHeight="1">
      <c r="A58" s="288" t="s">
        <v>80</v>
      </c>
      <c r="B58" s="245">
        <f>SUM(B55:B56)</f>
        <v>38356.5</v>
      </c>
      <c r="C58" s="245">
        <f>SUM(C55:C56)</f>
        <v>80057.25000000001</v>
      </c>
      <c r="D58" s="245">
        <f>SUM(D55:D56)</f>
        <v>118267.5</v>
      </c>
      <c r="E58" s="246"/>
    </row>
    <row r="59" spans="2:4" ht="12">
      <c r="B59" s="13"/>
      <c r="C59" s="13"/>
      <c r="D59" s="13"/>
    </row>
    <row r="60" spans="1:4" ht="12">
      <c r="A60" s="4"/>
      <c r="B60" s="13"/>
      <c r="C60" s="13"/>
      <c r="D60" s="13"/>
    </row>
    <row r="61" spans="1:5" s="8" customFormat="1" ht="18" customHeight="1">
      <c r="A61" s="289" t="s">
        <v>48</v>
      </c>
      <c r="B61" s="245">
        <f>B50-B58</f>
        <v>92689.67490184549</v>
      </c>
      <c r="C61" s="245">
        <f>C50-C58</f>
        <v>164471.9045384591</v>
      </c>
      <c r="D61" s="245">
        <f>D50-D58</f>
        <v>200304.88961217646</v>
      </c>
      <c r="E61" s="246"/>
    </row>
    <row r="62" spans="1:5" s="258" customFormat="1" ht="12">
      <c r="A62" s="255"/>
      <c r="B62" s="256"/>
      <c r="C62" s="256"/>
      <c r="D62" s="256"/>
      <c r="E62" s="257"/>
    </row>
    <row r="63" spans="2:4" ht="12">
      <c r="B63" s="96"/>
      <c r="C63" s="96"/>
      <c r="D63" s="96"/>
    </row>
    <row r="64" spans="1:4" ht="12">
      <c r="A64" s="40" t="s">
        <v>63</v>
      </c>
      <c r="B64" s="254"/>
      <c r="C64" s="254"/>
      <c r="D64" s="254"/>
    </row>
    <row r="65" spans="1:4" ht="12" customHeight="1">
      <c r="A65" s="298" t="s">
        <v>102</v>
      </c>
      <c r="B65" s="244">
        <f>B42/B13</f>
        <v>14.469740036473844</v>
      </c>
      <c r="C65" s="244">
        <f>C42/C13</f>
        <v>12.42623511190553</v>
      </c>
      <c r="D65" s="244">
        <f>D42/D13</f>
        <v>10.661198295828932</v>
      </c>
    </row>
    <row r="68" ht="12">
      <c r="A68" s="29" t="s">
        <v>127</v>
      </c>
    </row>
  </sheetData>
  <printOptions/>
  <pageMargins left="0.984251968503937" right="0.5905511811023623" top="0.7874015748031497" bottom="0.5905511811023623" header="0.5118110236220472" footer="0.5118110236220472"/>
  <pageSetup fitToHeight="1" fitToWidth="1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Verein Tagesschulen Schweiz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Mauchle</dc:creator>
  <cp:keywords/>
  <dc:description/>
  <cp:lastModifiedBy>Markus Mauchle</cp:lastModifiedBy>
  <cp:lastPrinted>2009-02-19T15:58:29Z</cp:lastPrinted>
  <dcterms:created xsi:type="dcterms:W3CDTF">2001-05-21T14:39:21Z</dcterms:created>
  <dcterms:modified xsi:type="dcterms:W3CDTF">2009-10-05T08:51:25Z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